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9f41d135918dd7c9/Desktop/"/>
    </mc:Choice>
  </mc:AlternateContent>
  <xr:revisionPtr revIDLastSave="0" documentId="8_{35BCD0AA-E3CF-4519-B015-0FB36B847E1E}" xr6:coauthVersionLast="47" xr6:coauthVersionMax="47" xr10:uidLastSave="{00000000-0000-0000-0000-000000000000}"/>
  <bookViews>
    <workbookView xWindow="-60" yWindow="-60" windowWidth="21720" windowHeight="12900" xr2:uid="{00000000-000D-0000-FFFF-FFFF00000000}"/>
  </bookViews>
  <sheets>
    <sheet name="Simulation" sheetId="2" r:id="rId1"/>
    <sheet name="設定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D8" i="2"/>
  <c r="S35" i="3" s="1"/>
  <c r="V29" i="3" s="1"/>
  <c r="S34" i="3"/>
  <c r="AE54" i="3"/>
  <c r="AE56" i="3" s="1"/>
  <c r="AE62" i="3" s="1"/>
  <c r="AE39" i="3"/>
  <c r="U27" i="3" l="1"/>
  <c r="U28" i="3"/>
  <c r="U29" i="3"/>
  <c r="U30" i="3"/>
  <c r="AE60" i="3"/>
  <c r="AE55" i="3"/>
  <c r="AE61" i="3" s="1"/>
  <c r="AE57" i="3"/>
  <c r="AE40" i="3"/>
  <c r="AE41" i="3" s="1"/>
  <c r="AE44" i="3" s="1"/>
  <c r="X27" i="3"/>
  <c r="T34" i="3" l="1"/>
  <c r="U34" i="3" s="1"/>
  <c r="D9" i="2" s="1"/>
  <c r="V30" i="3"/>
  <c r="V28" i="3"/>
  <c r="V27" i="3"/>
  <c r="AE64" i="3"/>
  <c r="AF54" i="3"/>
  <c r="AF39" i="3"/>
  <c r="AF40" i="3" s="1"/>
  <c r="AF43" i="3" s="1"/>
  <c r="AE43" i="3"/>
  <c r="AE47" i="3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T35" i="3" l="1"/>
  <c r="AF60" i="3"/>
  <c r="AF55" i="3"/>
  <c r="AF61" i="3" s="1"/>
  <c r="AF41" i="3"/>
  <c r="AF44" i="3" s="1"/>
  <c r="AF47" i="3" s="1"/>
  <c r="AF49" i="3" s="1"/>
  <c r="D19" i="2" s="1"/>
  <c r="AF56" i="3" l="1"/>
  <c r="AF57" i="3" s="1"/>
  <c r="U35" i="3"/>
  <c r="U37" i="3" s="1"/>
  <c r="D10" i="2" s="1"/>
  <c r="D21" i="2"/>
  <c r="D20" i="2"/>
  <c r="AF62" i="3" l="1"/>
  <c r="AF64" i="3" s="1"/>
  <c r="AF66" i="3" s="1"/>
  <c r="D22" i="2" s="1"/>
  <c r="D23" i="2" s="1"/>
  <c r="D11" i="2"/>
  <c r="D26" i="2"/>
  <c r="D27" i="2"/>
  <c r="D24" i="2" l="1"/>
  <c r="D31" i="2" s="1"/>
  <c r="D28" i="2"/>
  <c r="F24" i="2" l="1"/>
  <c r="J12" i="3" l="1"/>
  <c r="J13" i="3"/>
  <c r="K13" i="3" s="1"/>
  <c r="L13" i="3" l="1"/>
  <c r="K12" i="3"/>
  <c r="D12" i="2" s="1"/>
  <c r="L12" i="3" l="1"/>
  <c r="L14" i="3" s="1"/>
  <c r="D25" i="2" l="1"/>
  <c r="D29" i="2" s="1"/>
  <c r="D32" i="2" l="1"/>
  <c r="D33" i="2" s="1"/>
  <c r="F29" i="2"/>
</calcChain>
</file>

<file path=xl/sharedStrings.xml><?xml version="1.0" encoding="utf-8"?>
<sst xmlns="http://schemas.openxmlformats.org/spreadsheetml/2006/main" count="159" uniqueCount="122">
  <si>
    <t>【基本情報の入力】</t>
  </si>
  <si>
    <t>項目</t>
  </si>
  <si>
    <t>入力値</t>
  </si>
  <si>
    <t>単位</t>
  </si>
  <si>
    <t>備考</t>
  </si>
  <si>
    <t>円</t>
  </si>
  <si>
    <t>現在の役員報酬(月額)</t>
  </si>
  <si>
    <t>現在の年間所得額</t>
  </si>
  <si>
    <t>%</t>
  </si>
  <si>
    <t>課税所得に応じて設定</t>
  </si>
  <si>
    <t>【節税効果の計算】</t>
  </si>
  <si>
    <t>計算項目</t>
  </si>
  <si>
    <t>金額</t>
  </si>
  <si>
    <t>計算式・備考</t>
  </si>
  <si>
    <t>所得税率</t>
    <phoneticPr fontId="1"/>
  </si>
  <si>
    <t>税率</t>
  </si>
  <si>
    <t>控除額</t>
  </si>
  <si>
    <t>1,000円 から 1,949,000円まで</t>
    <phoneticPr fontId="1"/>
  </si>
  <si>
    <t>1,950,000円 から 3,299,000円まで</t>
    <phoneticPr fontId="1"/>
  </si>
  <si>
    <t>3,300,000円 から 6,949,000円まで</t>
    <phoneticPr fontId="1"/>
  </si>
  <si>
    <t>6,950,000円 から 8,999,000円まで</t>
    <phoneticPr fontId="1"/>
  </si>
  <si>
    <t>9,000,000円 から 17,999,000円まで</t>
    <phoneticPr fontId="1"/>
  </si>
  <si>
    <t>18,000,000円 から 39,999,000円まで</t>
    <phoneticPr fontId="1"/>
  </si>
  <si>
    <t>40,000,000円 以上</t>
    <phoneticPr fontId="1"/>
  </si>
  <si>
    <t>所得金額</t>
    <rPh sb="0" eb="2">
      <t>ショトク</t>
    </rPh>
    <rPh sb="2" eb="4">
      <t>キンガク</t>
    </rPh>
    <phoneticPr fontId="1"/>
  </si>
  <si>
    <t>課税される所得金額</t>
    <phoneticPr fontId="1"/>
  </si>
  <si>
    <t>適用%</t>
    <rPh sb="0" eb="2">
      <t>テキヨウ</t>
    </rPh>
    <phoneticPr fontId="1"/>
  </si>
  <si>
    <t>~</t>
    <phoneticPr fontId="1"/>
  </si>
  <si>
    <t>source</t>
    <phoneticPr fontId="1"/>
  </si>
  <si>
    <t>一律10%（所得は所得税のものと同一と仮定する）</t>
    <rPh sb="6" eb="8">
      <t>ショトク</t>
    </rPh>
    <rPh sb="9" eb="12">
      <t>ショトクゼイ</t>
    </rPh>
    <rPh sb="16" eb="18">
      <t>ドウイツ</t>
    </rPh>
    <rPh sb="19" eb="21">
      <t>カテイ</t>
    </rPh>
    <phoneticPr fontId="1"/>
  </si>
  <si>
    <t>役員報酬</t>
    <rPh sb="0" eb="4">
      <t>ヤクインホウシュウ</t>
    </rPh>
    <phoneticPr fontId="1"/>
  </si>
  <si>
    <t>役員報酬の増加分/年</t>
    <rPh sb="0" eb="4">
      <t>ヤクインホウシュウ</t>
    </rPh>
    <rPh sb="5" eb="8">
      <t>ゾウカブン</t>
    </rPh>
    <rPh sb="9" eb="10">
      <t>ネン</t>
    </rPh>
    <phoneticPr fontId="1"/>
  </si>
  <si>
    <t>増加後の役員報酬</t>
    <rPh sb="0" eb="3">
      <t>ゾウカゴ</t>
    </rPh>
    <rPh sb="4" eb="8">
      <t>ヤクインホウシュウ</t>
    </rPh>
    <phoneticPr fontId="1"/>
  </si>
  <si>
    <t>法人税 × 10.3%（東京）</t>
    <rPh sb="0" eb="3">
      <t>ホウジンゼイ</t>
    </rPh>
    <rPh sb="12" eb="14">
      <t>トウキョウ</t>
    </rPh>
    <phoneticPr fontId="1"/>
  </si>
  <si>
    <t>所得区分</t>
  </si>
  <si>
    <t>400万円以下</t>
    <phoneticPr fontId="1"/>
  </si>
  <si>
    <t>400万円超〜800万円以下</t>
    <phoneticPr fontId="1"/>
  </si>
  <si>
    <t>800万円超</t>
    <phoneticPr fontId="1"/>
  </si>
  <si>
    <t>◇法人事業税（資本金1億円以下で、年所得2,500万円以下、かつ年収入金額2億円以下の法人）</t>
    <rPh sb="1" eb="3">
      <t>ホウジン</t>
    </rPh>
    <rPh sb="3" eb="6">
      <t>ジギョウゼイ</t>
    </rPh>
    <phoneticPr fontId="1"/>
  </si>
  <si>
    <t>◇法人住民税（法人税割）</t>
    <rPh sb="1" eb="3">
      <t>ホウジン</t>
    </rPh>
    <rPh sb="3" eb="6">
      <t>ジュウミンゼイ</t>
    </rPh>
    <rPh sb="7" eb="11">
      <t>ホウジンゼイワリ</t>
    </rPh>
    <phoneticPr fontId="1"/>
  </si>
  <si>
    <t>資本金1,000万円以下、法人税額1,000万円以下：7.0%（標準税率）</t>
    <phoneticPr fontId="1"/>
  </si>
  <si>
    <t>上記の前提</t>
    <rPh sb="0" eb="2">
      <t>ジョウキ</t>
    </rPh>
    <rPh sb="3" eb="5">
      <t>ゼンテイ</t>
    </rPh>
    <phoneticPr fontId="1"/>
  </si>
  <si>
    <t>法人税の減少</t>
    <rPh sb="0" eb="3">
      <t>ホウジンゼイ</t>
    </rPh>
    <rPh sb="4" eb="6">
      <t>ゲンショウ</t>
    </rPh>
    <phoneticPr fontId="1"/>
  </si>
  <si>
    <t>地方法人税の減少</t>
    <rPh sb="0" eb="5">
      <t>チホウホウジンゼイ</t>
    </rPh>
    <rPh sb="6" eb="8">
      <t>ゲンショウ</t>
    </rPh>
    <phoneticPr fontId="1"/>
  </si>
  <si>
    <t>法人住民税の減少</t>
    <rPh sb="0" eb="2">
      <t>ホウジン</t>
    </rPh>
    <rPh sb="2" eb="5">
      <t>ジュウミンゼイ</t>
    </rPh>
    <rPh sb="6" eb="8">
      <t>ゲンショウ</t>
    </rPh>
    <phoneticPr fontId="1"/>
  </si>
  <si>
    <t>法人事業税の減少</t>
    <rPh sb="6" eb="8">
      <t>ゲンショウ</t>
    </rPh>
    <phoneticPr fontId="1"/>
  </si>
  <si>
    <t>特別法人事業税	の減少</t>
    <rPh sb="0" eb="2">
      <t>トクベツ</t>
    </rPh>
    <rPh sb="2" eb="4">
      <t>ホウジン</t>
    </rPh>
    <rPh sb="4" eb="7">
      <t>ジギョウゼイ</t>
    </rPh>
    <rPh sb="9" eb="11">
      <t>ゲンショウ</t>
    </rPh>
    <phoneticPr fontId="1"/>
  </si>
  <si>
    <t>法人事業税の減少額 × 37%（外形標準課税法人・特別法人以外の法人	）</t>
    <phoneticPr fontId="1"/>
  </si>
  <si>
    <t>法人税等の節税額</t>
    <rPh sb="0" eb="3">
      <t>ホウジンゼイ</t>
    </rPh>
    <rPh sb="3" eb="4">
      <t>ナド</t>
    </rPh>
    <rPh sb="5" eb="8">
      <t>セツゼイガク</t>
    </rPh>
    <phoneticPr fontId="1"/>
  </si>
  <si>
    <t>役員報酬の増額による節税</t>
    <rPh sb="0" eb="2">
      <t>ヤクイン</t>
    </rPh>
    <rPh sb="2" eb="4">
      <t>ホウシュウ</t>
    </rPh>
    <rPh sb="5" eb="7">
      <t>ゾウガク</t>
    </rPh>
    <rPh sb="10" eb="12">
      <t>セツゼイ</t>
    </rPh>
    <phoneticPr fontId="1"/>
  </si>
  <si>
    <t>役員報酬の増額による税負担UP</t>
    <rPh sb="0" eb="2">
      <t>ヤクイン</t>
    </rPh>
    <rPh sb="2" eb="4">
      <t>ホウシュウ</t>
    </rPh>
    <rPh sb="5" eb="7">
      <t>ゾウガク</t>
    </rPh>
    <rPh sb="10" eb="13">
      <t>ゼイフタン</t>
    </rPh>
    <phoneticPr fontId="1"/>
  </si>
  <si>
    <t>役員報酬増額後の所得額</t>
    <rPh sb="0" eb="4">
      <t>ヤクインホウシュウ</t>
    </rPh>
    <rPh sb="4" eb="6">
      <t>ゾウガク</t>
    </rPh>
    <rPh sb="6" eb="7">
      <t>ゴ</t>
    </rPh>
    <rPh sb="8" eb="11">
      <t>ショトクガク</t>
    </rPh>
    <phoneticPr fontId="1"/>
  </si>
  <si>
    <t>所得税の増加</t>
    <rPh sb="4" eb="6">
      <t>ゾウカ</t>
    </rPh>
    <phoneticPr fontId="1"/>
  </si>
  <si>
    <t>住民税の増加</t>
    <rPh sb="4" eb="6">
      <t>ゾウカ</t>
    </rPh>
    <phoneticPr fontId="1"/>
  </si>
  <si>
    <t>社会保険料の増加-厚生年金
（会社+個人負担）</t>
    <rPh sb="6" eb="8">
      <t>ゾウカ</t>
    </rPh>
    <rPh sb="9" eb="13">
      <t>コウセイネンキン</t>
    </rPh>
    <rPh sb="18" eb="20">
      <t>コジン</t>
    </rPh>
    <phoneticPr fontId="1"/>
  </si>
  <si>
    <t>厚生年金保険料率: 18.3% (会社負担+本人負担)
※月額65万円超の場合、追加負担額なし</t>
    <rPh sb="0" eb="2">
      <t>コウセイ</t>
    </rPh>
    <rPh sb="2" eb="4">
      <t>ネンキン</t>
    </rPh>
    <rPh sb="4" eb="7">
      <t>ホケンリョウ</t>
    </rPh>
    <rPh sb="7" eb="8">
      <t>リツ</t>
    </rPh>
    <rPh sb="17" eb="19">
      <t>カイシャ</t>
    </rPh>
    <rPh sb="19" eb="21">
      <t>フタン</t>
    </rPh>
    <rPh sb="22" eb="24">
      <t>ホンニン</t>
    </rPh>
    <rPh sb="24" eb="26">
      <t>フタン</t>
    </rPh>
    <rPh sb="29" eb="31">
      <t>ゲツガク</t>
    </rPh>
    <rPh sb="33" eb="35">
      <t>マンエン</t>
    </rPh>
    <rPh sb="35" eb="36">
      <t>チョウ</t>
    </rPh>
    <rPh sb="37" eb="39">
      <t>バアイ</t>
    </rPh>
    <rPh sb="40" eb="42">
      <t>ツイカ</t>
    </rPh>
    <rPh sb="42" eb="45">
      <t>フタンガク</t>
    </rPh>
    <phoneticPr fontId="1"/>
  </si>
  <si>
    <t>社会保険料の増加-健康保険
（会社+個人負担）</t>
    <rPh sb="6" eb="8">
      <t>ゾウカ</t>
    </rPh>
    <rPh sb="9" eb="13">
      <t>ケンコウホケン</t>
    </rPh>
    <rPh sb="18" eb="20">
      <t>コジン</t>
    </rPh>
    <phoneticPr fontId="1"/>
  </si>
  <si>
    <t>健康保険料率: 約10% (会社負担+本人負担)
※月額135.5万円超の場合、追加負担額なし</t>
    <rPh sb="0" eb="4">
      <t>ケンコウホケン</t>
    </rPh>
    <rPh sb="5" eb="6">
      <t>リツ</t>
    </rPh>
    <rPh sb="8" eb="9">
      <t>ヤク</t>
    </rPh>
    <rPh sb="14" eb="16">
      <t>カイシャ</t>
    </rPh>
    <rPh sb="16" eb="18">
      <t>フタン</t>
    </rPh>
    <rPh sb="19" eb="21">
      <t>ホンニン</t>
    </rPh>
    <rPh sb="21" eb="23">
      <t>フタン</t>
    </rPh>
    <rPh sb="26" eb="28">
      <t>ゲツガク</t>
    </rPh>
    <rPh sb="33" eb="35">
      <t>マンエン</t>
    </rPh>
    <rPh sb="35" eb="36">
      <t>チョウ</t>
    </rPh>
    <rPh sb="37" eb="39">
      <t>バアイ</t>
    </rPh>
    <rPh sb="40" eb="42">
      <t>ツイカ</t>
    </rPh>
    <rPh sb="42" eb="45">
      <t>フタンガク</t>
    </rPh>
    <phoneticPr fontId="1"/>
  </si>
  <si>
    <t>追加負担額</t>
    <rPh sb="0" eb="2">
      <t>ツイカ</t>
    </rPh>
    <rPh sb="2" eb="5">
      <t>フタンガク</t>
    </rPh>
    <phoneticPr fontId="1"/>
  </si>
  <si>
    <t>節税額</t>
    <rPh sb="0" eb="3">
      <t>セツゼイガク</t>
    </rPh>
    <phoneticPr fontId="1"/>
  </si>
  <si>
    <t>追加負担額</t>
    <rPh sb="0" eb="5">
      <t>ツイカフタンガク</t>
    </rPh>
    <phoneticPr fontId="1"/>
  </si>
  <si>
    <t>円</t>
    <phoneticPr fontId="1"/>
  </si>
  <si>
    <t>トータル（△は節税）</t>
    <rPh sb="7" eb="9">
      <t>セツゼイ</t>
    </rPh>
    <phoneticPr fontId="1"/>
  </si>
  <si>
    <t>掛け金と同額で設定。増加がなければ0円に変更。</t>
    <rPh sb="0" eb="1">
      <t>カ</t>
    </rPh>
    <rPh sb="2" eb="3">
      <t>キン</t>
    </rPh>
    <rPh sb="4" eb="6">
      <t>ドウガク</t>
    </rPh>
    <rPh sb="7" eb="9">
      <t>セッテイ</t>
    </rPh>
    <rPh sb="10" eb="12">
      <t>ゾウカ</t>
    </rPh>
    <rPh sb="18" eb="19">
      <t>エン</t>
    </rPh>
    <rPh sb="20" eb="22">
      <t>ヘンコウ</t>
    </rPh>
    <phoneticPr fontId="1"/>
  </si>
  <si>
    <t>給与等の収入金額</t>
  </si>
  <si>
    <t>給与所得控除額</t>
  </si>
  <si>
    <t>(給与所得の源泉徴収票の支払金額)</t>
  </si>
  <si>
    <t>1,625,000円まで</t>
  </si>
  <si>
    <t>550,000円</t>
  </si>
  <si>
    <t>1,625,001円から</t>
  </si>
  <si>
    <t>1,800,000円まで</t>
  </si>
  <si>
    <t>収入金額×40％-100,000円</t>
  </si>
  <si>
    <t>1,800,001円から</t>
  </si>
  <si>
    <t>3,600,000円まで</t>
  </si>
  <si>
    <t>収入金額×30％+80,000円</t>
  </si>
  <si>
    <t>3,600,001円から</t>
  </si>
  <si>
    <t>6,600,000円まで</t>
  </si>
  <si>
    <t>6,600,001円から</t>
  </si>
  <si>
    <t>8,500,000円まで</t>
  </si>
  <si>
    <t>収入金額×10％+1,100,000円</t>
  </si>
  <si>
    <t>8,500,001円以上</t>
  </si>
  <si>
    <t>1,950,000円（上限）</t>
  </si>
  <si>
    <t>給与等の収入金額</t>
    <rPh sb="0" eb="2">
      <t>キュウヨ</t>
    </rPh>
    <rPh sb="2" eb="3">
      <t>ナド</t>
    </rPh>
    <rPh sb="4" eb="6">
      <t>シュウニュウ</t>
    </rPh>
    <rPh sb="6" eb="8">
      <t>キンガク</t>
    </rPh>
    <phoneticPr fontId="17"/>
  </si>
  <si>
    <t>控除額</t>
    <rPh sb="0" eb="3">
      <t>コウジョガク</t>
    </rPh>
    <phoneticPr fontId="17"/>
  </si>
  <si>
    <t>所得金額</t>
    <rPh sb="0" eb="2">
      <t>ショトク</t>
    </rPh>
    <rPh sb="2" eb="4">
      <t>キンガク</t>
    </rPh>
    <phoneticPr fontId="17"/>
  </si>
  <si>
    <t>収入金額×20％+440,000円</t>
    <phoneticPr fontId="1"/>
  </si>
  <si>
    <t>役員報酬（増額前）</t>
    <rPh sb="0" eb="4">
      <t>ヤクインホウシュウ</t>
    </rPh>
    <rPh sb="5" eb="7">
      <t>ゾウガク</t>
    </rPh>
    <rPh sb="7" eb="8">
      <t>マエ</t>
    </rPh>
    <phoneticPr fontId="1"/>
  </si>
  <si>
    <t>役員報酬（後）</t>
    <rPh sb="0" eb="4">
      <t>ヤクインホウシュウ</t>
    </rPh>
    <rPh sb="5" eb="6">
      <t>アト</t>
    </rPh>
    <phoneticPr fontId="1"/>
  </si>
  <si>
    <t>所得増加額</t>
    <rPh sb="0" eb="2">
      <t>ショトク</t>
    </rPh>
    <rPh sb="2" eb="5">
      <t>ゾウカガク</t>
    </rPh>
    <phoneticPr fontId="1"/>
  </si>
  <si>
    <t>給与所得控除を考慮後の増加分</t>
    <rPh sb="0" eb="6">
      <t>キュウヨショトクコウジョ</t>
    </rPh>
    <rPh sb="7" eb="10">
      <t>コウリョゴ</t>
    </rPh>
    <rPh sb="11" eb="14">
      <t>ゾウカブン</t>
    </rPh>
    <phoneticPr fontId="1"/>
  </si>
  <si>
    <t>役員報酬シミュレーション</t>
    <rPh sb="0" eb="4">
      <t>ヤクインホウシュウ</t>
    </rPh>
    <phoneticPr fontId="1"/>
  </si>
  <si>
    <t>役員報酬の増加額</t>
    <rPh sb="0" eb="4">
      <t>ヤクインホウシュウ</t>
    </rPh>
    <rPh sb="5" eb="7">
      <t>ゾウカ</t>
    </rPh>
    <rPh sb="7" eb="8">
      <t>ガク</t>
    </rPh>
    <phoneticPr fontId="1"/>
  </si>
  <si>
    <t>ー</t>
    <phoneticPr fontId="1"/>
  </si>
  <si>
    <t>法人所得</t>
    <rPh sb="0" eb="2">
      <t>ホウジン</t>
    </rPh>
    <rPh sb="2" eb="4">
      <t>ショトク</t>
    </rPh>
    <phoneticPr fontId="1"/>
  </si>
  <si>
    <t>個人所得</t>
    <rPh sb="0" eb="2">
      <t>コジン</t>
    </rPh>
    <rPh sb="2" eb="4">
      <t>ショトク</t>
    </rPh>
    <phoneticPr fontId="1"/>
  </si>
  <si>
    <t>住民税率</t>
    <phoneticPr fontId="1"/>
  </si>
  <si>
    <t>法人の課税所得金額（現在）</t>
    <rPh sb="0" eb="2">
      <t>ホウジン</t>
    </rPh>
    <rPh sb="3" eb="7">
      <t>カゼイショトク</t>
    </rPh>
    <rPh sb="7" eb="9">
      <t>キンガク</t>
    </rPh>
    <rPh sb="10" eb="12">
      <t>ゲンザイ</t>
    </rPh>
    <phoneticPr fontId="1"/>
  </si>
  <si>
    <t>法人の課税所得金額（増額後）</t>
    <rPh sb="0" eb="2">
      <t>ホウジン</t>
    </rPh>
    <rPh sb="3" eb="7">
      <t>カゼイショトク</t>
    </rPh>
    <rPh sb="7" eb="9">
      <t>キンガク</t>
    </rPh>
    <rPh sb="10" eb="13">
      <t>ゾウガクゴ</t>
    </rPh>
    <phoneticPr fontId="1"/>
  </si>
  <si>
    <t>◇法人税の計算</t>
    <rPh sb="1" eb="4">
      <t>ホウジンゼイ</t>
    </rPh>
    <rPh sb="5" eb="7">
      <t>ケイサン</t>
    </rPh>
    <phoneticPr fontId="1"/>
  </si>
  <si>
    <t>以上</t>
    <rPh sb="0" eb="2">
      <t>イジョウ</t>
    </rPh>
    <phoneticPr fontId="1"/>
  </si>
  <si>
    <t>以下</t>
    <rPh sb="0" eb="2">
      <t>イカ</t>
    </rPh>
    <phoneticPr fontId="1"/>
  </si>
  <si>
    <t>法人所得</t>
    <rPh sb="0" eb="4">
      <t>ホウジンショトク</t>
    </rPh>
    <phoneticPr fontId="1"/>
  </si>
  <si>
    <t>現在</t>
    <rPh sb="0" eb="2">
      <t>ゲンザイ</t>
    </rPh>
    <phoneticPr fontId="1"/>
  </si>
  <si>
    <t>増額後</t>
    <rPh sb="0" eb="2">
      <t>ゾウガク</t>
    </rPh>
    <rPh sb="2" eb="3">
      <t>ゴ</t>
    </rPh>
    <phoneticPr fontId="1"/>
  </si>
  <si>
    <t>法人税額</t>
    <rPh sb="0" eb="4">
      <t>ホウジンゼイガク</t>
    </rPh>
    <phoneticPr fontId="1"/>
  </si>
  <si>
    <t>800万円まで</t>
    <rPh sb="3" eb="5">
      <t>マンエン</t>
    </rPh>
    <phoneticPr fontId="1"/>
  </si>
  <si>
    <t>800万円超</t>
    <rPh sb="3" eb="5">
      <t>マンエン</t>
    </rPh>
    <rPh sb="5" eb="6">
      <t>チョウ</t>
    </rPh>
    <phoneticPr fontId="1"/>
  </si>
  <si>
    <t>減少額</t>
    <rPh sb="0" eb="3">
      <t>ゲンショウガク</t>
    </rPh>
    <phoneticPr fontId="1"/>
  </si>
  <si>
    <t>別紙で計算。</t>
    <rPh sb="0" eb="2">
      <t>ベッシ</t>
    </rPh>
    <rPh sb="3" eb="5">
      <t>ケイサン</t>
    </rPh>
    <phoneticPr fontId="1"/>
  </si>
  <si>
    <t>https://www.tax.metro.tokyo.lg.jp/kazei/work/houjinji</t>
    <phoneticPr fontId="1"/>
  </si>
  <si>
    <t>資本金1,000万円以下、法人税額1,000万円以下：7.0%（東京都）
　法人割：法人税額×7%、均等割り：影響なし</t>
    <rPh sb="32" eb="35">
      <t>トウキョウト</t>
    </rPh>
    <rPh sb="38" eb="41">
      <t>ホウジンワリ</t>
    </rPh>
    <rPh sb="42" eb="46">
      <t>ホウジンゼイガク</t>
    </rPh>
    <rPh sb="50" eb="53">
      <t>キントウワ</t>
    </rPh>
    <rPh sb="55" eb="57">
      <t>エイキョウ</t>
    </rPh>
    <phoneticPr fontId="1"/>
  </si>
  <si>
    <t>400万円まで</t>
    <rPh sb="3" eb="5">
      <t>マンエン</t>
    </rPh>
    <phoneticPr fontId="1"/>
  </si>
  <si>
    <t>400~800万円</t>
    <rPh sb="7" eb="9">
      <t>マンエン</t>
    </rPh>
    <phoneticPr fontId="1"/>
  </si>
  <si>
    <t>個人所得の増加×住民税率（10%）</t>
    <rPh sb="0" eb="2">
      <t>コジン</t>
    </rPh>
    <rPh sb="2" eb="4">
      <t>ショトク</t>
    </rPh>
    <rPh sb="5" eb="7">
      <t>ゾウカ</t>
    </rPh>
    <rPh sb="8" eb="11">
      <t>ジュウミンゼイ</t>
    </rPh>
    <rPh sb="11" eb="12">
      <t>リツ</t>
    </rPh>
    <phoneticPr fontId="1"/>
  </si>
  <si>
    <t>個人所得の増加×所得税率</t>
    <rPh sb="0" eb="2">
      <t>コジン</t>
    </rPh>
    <rPh sb="2" eb="4">
      <t>ショトク</t>
    </rPh>
    <rPh sb="5" eb="7">
      <t>ゾウカ</t>
    </rPh>
    <rPh sb="8" eb="12">
      <t>ショトクゼイリツ</t>
    </rPh>
    <phoneticPr fontId="1"/>
  </si>
  <si>
    <t>給与所得控除額
(増額前）</t>
    <rPh sb="9" eb="12">
      <t>ゾウガクマエ</t>
    </rPh>
    <phoneticPr fontId="1"/>
  </si>
  <si>
    <t>給与所得控除額
(増額後）</t>
    <rPh sb="9" eb="11">
      <t>ゾウガク</t>
    </rPh>
    <rPh sb="11" eb="12">
      <t>ゴ</t>
    </rPh>
    <phoneticPr fontId="1"/>
  </si>
  <si>
    <t>入力額</t>
    <phoneticPr fontId="1"/>
  </si>
  <si>
    <t>増加後</t>
    <rPh sb="0" eb="3">
      <t>ゾウカゴ</t>
    </rPh>
    <phoneticPr fontId="1"/>
  </si>
  <si>
    <t>所得税</t>
    <phoneticPr fontId="1"/>
  </si>
  <si>
    <t>課税所得(所得控除後)　※給与所得のみと仮定</t>
    <rPh sb="13" eb="17">
      <t>キュウヨショトク</t>
    </rPh>
    <rPh sb="20" eb="22">
      <t>カテイ</t>
    </rPh>
    <phoneticPr fontId="1"/>
  </si>
  <si>
    <t>はマクロで自動計算（10,000~500,000円で試算、結果シートで変更も可能）</t>
    <rPh sb="5" eb="7">
      <t>ジドウ</t>
    </rPh>
    <rPh sb="7" eb="9">
      <t>ケイサン</t>
    </rPh>
    <rPh sb="24" eb="25">
      <t>エン</t>
    </rPh>
    <rPh sb="26" eb="28">
      <t>シサン</t>
    </rPh>
    <rPh sb="29" eb="31">
      <t>ケッカ</t>
    </rPh>
    <rPh sb="35" eb="37">
      <t>ヘンコウ</t>
    </rPh>
    <rPh sb="38" eb="40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</si>
</sst>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b/>
      <sz val="10"/>
      <name val="Meiryo UI"/>
      <family val="3"/>
      <charset val="128"/>
    </font>
    <font>
      <b/>
      <sz val="10"/>
      <color rgb="FF1F4E78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rgb="FFFFFFFF"/>
      <name val="Meiryo UI"/>
      <family val="3"/>
      <charset val="128"/>
    </font>
    <font>
      <b/>
      <sz val="10"/>
      <color rgb="FF375623"/>
      <name val="Meiryo UI"/>
      <family val="3"/>
      <charset val="128"/>
    </font>
    <font>
      <b/>
      <sz val="10"/>
      <color rgb="FF333333"/>
      <name val="Meiryo UI"/>
      <family val="3"/>
      <charset val="128"/>
    </font>
    <font>
      <sz val="10"/>
      <color rgb="FF333333"/>
      <name val="Meiryo UI"/>
      <family val="3"/>
      <charset val="128"/>
    </font>
    <font>
      <sz val="10"/>
      <name val="Meiryo UI"/>
      <family val="3"/>
      <charset val="128"/>
    </font>
    <font>
      <u/>
      <sz val="10"/>
      <color theme="10"/>
      <name val="Meiryo UI"/>
      <family val="3"/>
      <charset val="128"/>
    </font>
    <font>
      <b/>
      <sz val="10"/>
      <color rgb="FF232425"/>
      <name val="Meiryo UI"/>
      <family val="3"/>
      <charset val="128"/>
    </font>
    <font>
      <sz val="10"/>
      <color rgb="FF232425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10"/>
      <color rgb="FF375623"/>
      <name val="Meiryo UI"/>
      <family val="3"/>
      <charset val="128"/>
    </font>
    <font>
      <sz val="6"/>
      <name val="Meiryo UI"/>
      <family val="2"/>
      <charset val="128"/>
    </font>
  </fonts>
  <fills count="15">
    <fill>
      <patternFill patternType="none"/>
    </fill>
    <fill>
      <patternFill patternType="gray125"/>
    </fill>
    <fill>
      <patternFill patternType="solid">
        <fgColor rgb="FF4472C4"/>
        <bgColor rgb="FF4472C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indexed="64"/>
      </patternFill>
    </fill>
    <fill>
      <patternFill patternType="solid">
        <fgColor rgb="FFEEF4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C6E0B4"/>
      </patternFill>
    </fill>
    <fill>
      <patternFill patternType="solid">
        <fgColor theme="8" tint="0.79998168889431442"/>
        <bgColor rgb="FFB4C7E7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B4C7E7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rgb="FFC6E0B4"/>
      </patternFill>
    </fill>
    <fill>
      <patternFill patternType="solid">
        <fgColor theme="6" tint="0.79998168889431442"/>
        <bgColor rgb="FFFFF2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6" fillId="0" borderId="0" xfId="0" applyFont="1"/>
    <xf numFmtId="38" fontId="6" fillId="0" borderId="0" xfId="1" applyFont="1" applyAlignment="1"/>
    <xf numFmtId="0" fontId="9" fillId="5" borderId="0" xfId="0" applyFont="1" applyFill="1" applyAlignment="1">
      <alignment horizontal="center" vertical="center" wrapText="1"/>
    </xf>
    <xf numFmtId="9" fontId="10" fillId="4" borderId="0" xfId="0" applyNumberFormat="1" applyFont="1" applyFill="1" applyAlignment="1">
      <alignment horizontal="center" vertical="center" wrapText="1"/>
    </xf>
    <xf numFmtId="0" fontId="10" fillId="4" borderId="0" xfId="0" applyFont="1" applyFill="1" applyAlignment="1">
      <alignment horizontal="right" vertical="center" wrapText="1"/>
    </xf>
    <xf numFmtId="3" fontId="10" fillId="4" borderId="0" xfId="0" applyNumberFormat="1" applyFont="1" applyFill="1" applyAlignment="1">
      <alignment horizontal="right" vertical="center" wrapText="1"/>
    </xf>
    <xf numFmtId="0" fontId="9" fillId="5" borderId="0" xfId="0" applyFont="1" applyFill="1" applyAlignment="1">
      <alignment vertical="center" wrapText="1"/>
    </xf>
    <xf numFmtId="9" fontId="6" fillId="0" borderId="0" xfId="0" applyNumberFormat="1" applyFont="1"/>
    <xf numFmtId="9" fontId="11" fillId="0" borderId="0" xfId="2" applyFont="1" applyFill="1" applyAlignment="1">
      <alignment horizontal="center" vertical="center" wrapText="1"/>
    </xf>
    <xf numFmtId="9" fontId="6" fillId="0" borderId="0" xfId="2" applyFont="1" applyAlignment="1"/>
    <xf numFmtId="0" fontId="6" fillId="0" borderId="0" xfId="0" applyFont="1" applyAlignment="1">
      <alignment horizontal="center"/>
    </xf>
    <xf numFmtId="0" fontId="12" fillId="0" borderId="0" xfId="3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13" fillId="6" borderId="0" xfId="0" applyFont="1" applyFill="1" applyAlignment="1">
      <alignment horizontal="left" vertical="center" wrapText="1"/>
    </xf>
    <xf numFmtId="10" fontId="6" fillId="0" borderId="0" xfId="0" applyNumberFormat="1" applyFont="1"/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/>
    </xf>
    <xf numFmtId="0" fontId="4" fillId="9" borderId="3" xfId="0" applyFont="1" applyFill="1" applyBorder="1" applyAlignment="1">
      <alignment horizontal="left" vertical="center"/>
    </xf>
    <xf numFmtId="0" fontId="4" fillId="9" borderId="5" xfId="0" applyFont="1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4" fillId="9" borderId="1" xfId="1" applyNumberFormat="1" applyFont="1" applyFill="1" applyBorder="1" applyAlignment="1">
      <alignment vertical="center"/>
    </xf>
    <xf numFmtId="176" fontId="6" fillId="3" borderId="7" xfId="1" applyNumberFormat="1" applyFont="1" applyFill="1" applyBorder="1" applyAlignment="1">
      <alignment vertical="center"/>
    </xf>
    <xf numFmtId="176" fontId="6" fillId="0" borderId="8" xfId="1" applyNumberFormat="1" applyFont="1" applyFill="1" applyBorder="1" applyAlignment="1">
      <alignment vertical="center"/>
    </xf>
    <xf numFmtId="176" fontId="6" fillId="0" borderId="9" xfId="1" applyNumberFormat="1" applyFont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176" fontId="4" fillId="9" borderId="5" xfId="1" applyNumberFormat="1" applyFont="1" applyFill="1" applyBorder="1" applyAlignment="1">
      <alignment vertical="center"/>
    </xf>
    <xf numFmtId="176" fontId="6" fillId="0" borderId="1" xfId="1" applyNumberFormat="1" applyFont="1" applyBorder="1" applyAlignment="1">
      <alignment vertical="center"/>
    </xf>
    <xf numFmtId="0" fontId="6" fillId="0" borderId="10" xfId="0" applyFont="1" applyBorder="1" applyAlignment="1">
      <alignment horizontal="left" vertical="center"/>
    </xf>
    <xf numFmtId="176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8" borderId="2" xfId="0" applyFont="1" applyFill="1" applyBorder="1" applyAlignment="1">
      <alignment horizontal="left" vertical="center"/>
    </xf>
    <xf numFmtId="176" fontId="8" fillId="8" borderId="2" xfId="1" applyNumberFormat="1" applyFont="1" applyFill="1" applyBorder="1" applyAlignment="1">
      <alignment vertical="center"/>
    </xf>
    <xf numFmtId="0" fontId="6" fillId="8" borderId="2" xfId="0" applyFont="1" applyFill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 wrapText="1"/>
    </xf>
    <xf numFmtId="0" fontId="6" fillId="8" borderId="10" xfId="0" applyFont="1" applyFill="1" applyBorder="1" applyAlignment="1">
      <alignment horizontal="left" vertical="center"/>
    </xf>
    <xf numFmtId="176" fontId="16" fillId="8" borderId="10" xfId="1" applyNumberFormat="1" applyFont="1" applyFill="1" applyBorder="1" applyAlignment="1">
      <alignment vertical="center"/>
    </xf>
    <xf numFmtId="0" fontId="6" fillId="8" borderId="10" xfId="0" applyFont="1" applyFill="1" applyBorder="1" applyAlignment="1">
      <alignment vertical="center"/>
    </xf>
    <xf numFmtId="38" fontId="4" fillId="11" borderId="2" xfId="1" applyFont="1" applyFill="1" applyBorder="1" applyAlignment="1">
      <alignment vertical="center"/>
    </xf>
    <xf numFmtId="176" fontId="4" fillId="11" borderId="2" xfId="1" applyNumberFormat="1" applyFont="1" applyFill="1" applyBorder="1" applyAlignment="1">
      <alignment vertical="center"/>
    </xf>
    <xf numFmtId="0" fontId="15" fillId="12" borderId="2" xfId="0" applyFont="1" applyFill="1" applyBorder="1" applyAlignment="1">
      <alignment vertical="center"/>
    </xf>
    <xf numFmtId="0" fontId="6" fillId="13" borderId="2" xfId="0" applyFont="1" applyFill="1" applyBorder="1" applyAlignment="1">
      <alignment horizontal="left" vertical="center"/>
    </xf>
    <xf numFmtId="176" fontId="8" fillId="13" borderId="2" xfId="1" applyNumberFormat="1" applyFont="1" applyFill="1" applyBorder="1" applyAlignment="1">
      <alignment vertical="center"/>
    </xf>
    <xf numFmtId="0" fontId="6" fillId="13" borderId="2" xfId="0" applyFont="1" applyFill="1" applyBorder="1" applyAlignment="1">
      <alignment vertical="center"/>
    </xf>
    <xf numFmtId="0" fontId="6" fillId="13" borderId="1" xfId="0" applyFont="1" applyFill="1" applyBorder="1" applyAlignment="1">
      <alignment horizontal="left" vertical="center"/>
    </xf>
    <xf numFmtId="176" fontId="16" fillId="13" borderId="1" xfId="1" applyNumberFormat="1" applyFont="1" applyFill="1" applyBorder="1" applyAlignment="1">
      <alignment vertical="center"/>
    </xf>
    <xf numFmtId="0" fontId="6" fillId="13" borderId="1" xfId="0" applyFont="1" applyFill="1" applyBorder="1" applyAlignment="1">
      <alignment vertical="center"/>
    </xf>
    <xf numFmtId="176" fontId="6" fillId="14" borderId="9" xfId="1" applyNumberFormat="1" applyFont="1" applyFill="1" applyBorder="1" applyAlignment="1">
      <alignment vertical="center"/>
    </xf>
    <xf numFmtId="0" fontId="6" fillId="14" borderId="0" xfId="0" applyFont="1" applyFill="1" applyAlignment="1">
      <alignment vertical="center"/>
    </xf>
    <xf numFmtId="0" fontId="6" fillId="0" borderId="10" xfId="0" applyFont="1" applyBorder="1" applyAlignment="1">
      <alignment vertical="center" shrinkToFit="1"/>
    </xf>
    <xf numFmtId="0" fontId="9" fillId="7" borderId="1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shrinkToFit="1"/>
    </xf>
    <xf numFmtId="38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9" fontId="6" fillId="0" borderId="0" xfId="0" applyNumberFormat="1" applyFont="1" applyAlignment="1">
      <alignment vertical="center"/>
    </xf>
    <xf numFmtId="38" fontId="6" fillId="0" borderId="0" xfId="1" applyFont="1">
      <alignment vertical="center"/>
    </xf>
    <xf numFmtId="0" fontId="10" fillId="0" borderId="0" xfId="0" applyFont="1" applyAlignment="1">
      <alignment horizontal="left" vertical="center" wrapText="1"/>
    </xf>
    <xf numFmtId="0" fontId="6" fillId="0" borderId="1" xfId="0" applyFont="1" applyBorder="1" applyAlignment="1">
      <alignment vertical="center" shrinkToFit="1"/>
    </xf>
    <xf numFmtId="0" fontId="15" fillId="7" borderId="1" xfId="0" applyFont="1" applyFill="1" applyBorder="1" applyAlignment="1">
      <alignment horizontal="center" vertical="center" shrinkToFit="1"/>
    </xf>
    <xf numFmtId="38" fontId="6" fillId="0" borderId="1" xfId="1" applyFont="1" applyBorder="1" applyAlignment="1">
      <alignment vertical="center" shrinkToFit="1"/>
    </xf>
    <xf numFmtId="38" fontId="6" fillId="0" borderId="1" xfId="0" applyNumberFormat="1" applyFont="1" applyBorder="1" applyAlignment="1">
      <alignment shrinkToFit="1"/>
    </xf>
    <xf numFmtId="38" fontId="6" fillId="0" borderId="1" xfId="1" applyFont="1" applyBorder="1" applyAlignment="1">
      <alignment shrinkToFit="1"/>
    </xf>
    <xf numFmtId="0" fontId="15" fillId="12" borderId="1" xfId="0" applyFont="1" applyFill="1" applyBorder="1"/>
    <xf numFmtId="38" fontId="15" fillId="12" borderId="1" xfId="0" applyNumberFormat="1" applyFont="1" applyFill="1" applyBorder="1"/>
    <xf numFmtId="38" fontId="6" fillId="0" borderId="1" xfId="1" applyFont="1" applyFill="1" applyBorder="1" applyAlignment="1">
      <alignment vertical="center" shrinkToFit="1"/>
    </xf>
    <xf numFmtId="9" fontId="6" fillId="0" borderId="0" xfId="2" applyFont="1" applyAlignment="1">
      <alignment vertical="center"/>
    </xf>
    <xf numFmtId="0" fontId="14" fillId="4" borderId="0" xfId="0" applyFont="1" applyFill="1" applyAlignment="1">
      <alignment horizontal="right" vertical="center"/>
    </xf>
    <xf numFmtId="10" fontId="14" fillId="4" borderId="0" xfId="0" applyNumberFormat="1" applyFont="1" applyFill="1" applyAlignment="1">
      <alignment horizontal="right" vertical="center" wrapText="1"/>
    </xf>
    <xf numFmtId="38" fontId="15" fillId="0" borderId="0" xfId="1" applyFont="1" applyAlignment="1"/>
    <xf numFmtId="0" fontId="15" fillId="0" borderId="0" xfId="0" applyFont="1"/>
    <xf numFmtId="0" fontId="15" fillId="10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5" fillId="9" borderId="7" xfId="0" applyFont="1" applyFill="1" applyBorder="1" applyAlignment="1">
      <alignment vertical="center"/>
    </xf>
    <xf numFmtId="0" fontId="15" fillId="9" borderId="9" xfId="0" applyFont="1" applyFill="1" applyBorder="1" applyAlignment="1">
      <alignment vertical="center"/>
    </xf>
    <xf numFmtId="0" fontId="15" fillId="9" borderId="8" xfId="0" applyFont="1" applyFill="1" applyBorder="1" applyAlignment="1">
      <alignment vertical="center"/>
    </xf>
    <xf numFmtId="0" fontId="4" fillId="9" borderId="1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38" fontId="6" fillId="0" borderId="0" xfId="1" applyFont="1" applyAlignment="1">
      <alignment vertical="center"/>
    </xf>
    <xf numFmtId="38" fontId="6" fillId="0" borderId="0" xfId="0" applyNumberFormat="1" applyFont="1"/>
    <xf numFmtId="9" fontId="6" fillId="13" borderId="2" xfId="2" applyFont="1" applyFill="1" applyBorder="1" applyAlignment="1">
      <alignment vertical="center"/>
    </xf>
    <xf numFmtId="9" fontId="6" fillId="8" borderId="2" xfId="2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B4C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tax.metro.tokyo.lg.jp/kazei/work/houjinji" TargetMode="External"/><Relationship Id="rId1" Type="http://schemas.openxmlformats.org/officeDocument/2006/relationships/hyperlink" Target="https://www.nta.go.jp/taxes/shiraberu/taxanswer/shotoku/2260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3374B-3F99-4D5C-B3CD-C851789960C2}">
  <sheetPr codeName="Sheet1"/>
  <dimension ref="B1:F33"/>
  <sheetViews>
    <sheetView showGridLines="0" tabSelected="1" zoomScale="75" zoomScaleNormal="75" workbookViewId="0">
      <selection activeCell="E3" sqref="E3"/>
    </sheetView>
  </sheetViews>
  <sheetFormatPr defaultRowHeight="14.25"/>
  <cols>
    <col min="1" max="1" width="1.73046875" style="13" customWidth="1"/>
    <col min="2" max="2" width="12.33203125" style="13" customWidth="1"/>
    <col min="3" max="3" width="25.59765625" style="15" bestFit="1" customWidth="1"/>
    <col min="4" max="4" width="18" style="32" customWidth="1"/>
    <col min="5" max="5" width="6.59765625" style="13" customWidth="1"/>
    <col min="6" max="6" width="57.86328125" style="13" bestFit="1" customWidth="1"/>
    <col min="7" max="7" width="2.73046875" style="13" customWidth="1"/>
    <col min="8" max="16384" width="9.06640625" style="13"/>
  </cols>
  <sheetData>
    <row r="1" spans="2:6" ht="9.4" customHeight="1"/>
    <row r="2" spans="2:6">
      <c r="B2" s="14" t="s">
        <v>90</v>
      </c>
    </row>
    <row r="3" spans="2:6" ht="7.15" customHeight="1"/>
    <row r="4" spans="2:6">
      <c r="B4" s="85" t="s">
        <v>0</v>
      </c>
      <c r="C4" s="85"/>
      <c r="E4" s="61"/>
      <c r="F4" s="13" t="s">
        <v>121</v>
      </c>
    </row>
    <row r="5" spans="2:6">
      <c r="B5" s="91" t="s">
        <v>1</v>
      </c>
      <c r="C5" s="91"/>
      <c r="D5" s="33" t="s">
        <v>2</v>
      </c>
      <c r="E5" s="31" t="s">
        <v>3</v>
      </c>
      <c r="F5" s="31" t="s">
        <v>4</v>
      </c>
    </row>
    <row r="6" spans="2:6">
      <c r="B6" s="88" t="s">
        <v>30</v>
      </c>
      <c r="C6" s="21" t="s">
        <v>6</v>
      </c>
      <c r="D6" s="34">
        <v>100000</v>
      </c>
      <c r="E6" s="22" t="s">
        <v>5</v>
      </c>
      <c r="F6" s="22" t="s">
        <v>92</v>
      </c>
    </row>
    <row r="7" spans="2:6">
      <c r="B7" s="89"/>
      <c r="C7" s="25" t="s">
        <v>91</v>
      </c>
      <c r="D7" s="60">
        <v>500000</v>
      </c>
      <c r="E7" s="26" t="s">
        <v>5</v>
      </c>
      <c r="F7" s="26" t="s">
        <v>63</v>
      </c>
    </row>
    <row r="8" spans="2:6">
      <c r="B8" s="90"/>
      <c r="C8" s="23" t="s">
        <v>32</v>
      </c>
      <c r="D8" s="35">
        <f>SUM(D6:D7)</f>
        <v>600000</v>
      </c>
      <c r="E8" s="24" t="s">
        <v>5</v>
      </c>
      <c r="F8" s="24"/>
    </row>
    <row r="9" spans="2:6">
      <c r="B9" s="88" t="s">
        <v>94</v>
      </c>
      <c r="C9" s="21" t="s">
        <v>7</v>
      </c>
      <c r="D9" s="100">
        <f>設定!U34</f>
        <v>650000</v>
      </c>
      <c r="E9" s="22" t="s">
        <v>5</v>
      </c>
      <c r="F9" s="22" t="s">
        <v>120</v>
      </c>
    </row>
    <row r="10" spans="2:6">
      <c r="B10" s="89"/>
      <c r="C10" s="25" t="s">
        <v>31</v>
      </c>
      <c r="D10" s="36">
        <f>設定!U37</f>
        <v>4730000</v>
      </c>
      <c r="E10" s="26" t="s">
        <v>5</v>
      </c>
      <c r="F10" s="26" t="s">
        <v>89</v>
      </c>
    </row>
    <row r="11" spans="2:6">
      <c r="B11" s="89"/>
      <c r="C11" s="25" t="s">
        <v>51</v>
      </c>
      <c r="D11" s="37">
        <f>D9+D10</f>
        <v>5380000</v>
      </c>
      <c r="E11" s="26" t="s">
        <v>5</v>
      </c>
      <c r="F11" s="26"/>
    </row>
    <row r="12" spans="2:6">
      <c r="B12" s="89"/>
      <c r="C12" s="25" t="s">
        <v>14</v>
      </c>
      <c r="D12" s="37">
        <f>IFERROR(設定!K12*100,0)</f>
        <v>5</v>
      </c>
      <c r="E12" s="26" t="s">
        <v>8</v>
      </c>
      <c r="F12" s="26" t="s">
        <v>9</v>
      </c>
    </row>
    <row r="13" spans="2:6">
      <c r="B13" s="90"/>
      <c r="C13" s="23" t="s">
        <v>95</v>
      </c>
      <c r="D13" s="35">
        <v>10</v>
      </c>
      <c r="E13" s="24" t="s">
        <v>8</v>
      </c>
      <c r="F13" s="24" t="s">
        <v>29</v>
      </c>
    </row>
    <row r="14" spans="2:6">
      <c r="B14" s="92" t="s">
        <v>93</v>
      </c>
      <c r="C14" s="21" t="s">
        <v>96</v>
      </c>
      <c r="D14" s="34">
        <v>12000000</v>
      </c>
      <c r="E14" s="22" t="s">
        <v>61</v>
      </c>
      <c r="F14" s="22"/>
    </row>
    <row r="15" spans="2:6">
      <c r="B15" s="92"/>
      <c r="C15" s="23" t="s">
        <v>97</v>
      </c>
      <c r="D15" s="35">
        <f>D14-D7*12</f>
        <v>6000000</v>
      </c>
      <c r="E15" s="24" t="s">
        <v>61</v>
      </c>
      <c r="F15" s="24"/>
    </row>
    <row r="16" spans="2:6">
      <c r="C16" s="13"/>
      <c r="D16" s="13"/>
    </row>
    <row r="17" spans="2:6">
      <c r="B17" s="86" t="s">
        <v>10</v>
      </c>
      <c r="C17" s="87"/>
      <c r="D17" s="78"/>
    </row>
    <row r="18" spans="2:6">
      <c r="B18" s="28" t="s">
        <v>11</v>
      </c>
      <c r="C18" s="29"/>
      <c r="D18" s="38" t="s">
        <v>12</v>
      </c>
      <c r="E18" s="30" t="s">
        <v>3</v>
      </c>
      <c r="F18" s="30" t="s">
        <v>13</v>
      </c>
    </row>
    <row r="19" spans="2:6">
      <c r="B19" s="83" t="s">
        <v>49</v>
      </c>
      <c r="C19" s="16" t="s">
        <v>42</v>
      </c>
      <c r="D19" s="39">
        <f>設定!AF49</f>
        <v>1228000</v>
      </c>
      <c r="E19" s="17" t="s">
        <v>5</v>
      </c>
      <c r="F19" s="17" t="s">
        <v>108</v>
      </c>
    </row>
    <row r="20" spans="2:6">
      <c r="B20" s="83"/>
      <c r="C20" s="16" t="s">
        <v>43</v>
      </c>
      <c r="D20" s="39">
        <f>D19*10.3%</f>
        <v>126484.00000000001</v>
      </c>
      <c r="E20" s="17" t="s">
        <v>5</v>
      </c>
      <c r="F20" s="17" t="s">
        <v>33</v>
      </c>
    </row>
    <row r="21" spans="2:6" ht="28.5">
      <c r="B21" s="83"/>
      <c r="C21" s="16" t="s">
        <v>44</v>
      </c>
      <c r="D21" s="39">
        <f>D19*7%</f>
        <v>85960.000000000015</v>
      </c>
      <c r="E21" s="17" t="s">
        <v>5</v>
      </c>
      <c r="F21" s="18" t="s">
        <v>110</v>
      </c>
    </row>
    <row r="22" spans="2:6">
      <c r="B22" s="83"/>
      <c r="C22" s="16" t="s">
        <v>45</v>
      </c>
      <c r="D22" s="39">
        <f>設定!AF66</f>
        <v>350000</v>
      </c>
      <c r="E22" s="17" t="s">
        <v>5</v>
      </c>
      <c r="F22" s="17" t="s">
        <v>108</v>
      </c>
    </row>
    <row r="23" spans="2:6" ht="14.65" thickBot="1">
      <c r="B23" s="83"/>
      <c r="C23" s="40" t="s">
        <v>46</v>
      </c>
      <c r="D23" s="41">
        <f>D22*37%</f>
        <v>129500</v>
      </c>
      <c r="E23" s="42" t="s">
        <v>5</v>
      </c>
      <c r="F23" s="62" t="s">
        <v>47</v>
      </c>
    </row>
    <row r="24" spans="2:6" ht="14.65" thickTop="1">
      <c r="B24" s="83"/>
      <c r="C24" s="54" t="s">
        <v>48</v>
      </c>
      <c r="D24" s="55">
        <f>SUM(D19:D23)</f>
        <v>1919944</v>
      </c>
      <c r="E24" s="56" t="s">
        <v>5</v>
      </c>
      <c r="F24" s="98">
        <f>D24/(D7*12)</f>
        <v>0.31999066666666665</v>
      </c>
    </row>
    <row r="25" spans="2:6">
      <c r="B25" s="84" t="s">
        <v>50</v>
      </c>
      <c r="C25" s="16" t="s">
        <v>52</v>
      </c>
      <c r="D25" s="39">
        <f>設定!L14</f>
        <v>1043500</v>
      </c>
      <c r="E25" s="17" t="s">
        <v>5</v>
      </c>
      <c r="F25" s="17" t="s">
        <v>114</v>
      </c>
    </row>
    <row r="26" spans="2:6">
      <c r="B26" s="84"/>
      <c r="C26" s="16" t="s">
        <v>53</v>
      </c>
      <c r="D26" s="39">
        <f>D10*10%</f>
        <v>473000</v>
      </c>
      <c r="E26" s="17" t="s">
        <v>5</v>
      </c>
      <c r="F26" s="17" t="s">
        <v>113</v>
      </c>
    </row>
    <row r="27" spans="2:6" ht="28.5">
      <c r="B27" s="84"/>
      <c r="C27" s="27" t="s">
        <v>54</v>
      </c>
      <c r="D27" s="39">
        <f>IF(D6&gt;650000,0,D10*18.3%)</f>
        <v>865590</v>
      </c>
      <c r="E27" s="17" t="s">
        <v>5</v>
      </c>
      <c r="F27" s="18" t="s">
        <v>55</v>
      </c>
    </row>
    <row r="28" spans="2:6" ht="28.9" thickBot="1">
      <c r="B28" s="84"/>
      <c r="C28" s="46" t="s">
        <v>56</v>
      </c>
      <c r="D28" s="41">
        <f>IF(D6&gt;1355000,0,D10*10%)</f>
        <v>473000</v>
      </c>
      <c r="E28" s="42" t="s">
        <v>5</v>
      </c>
      <c r="F28" s="47" t="s">
        <v>57</v>
      </c>
    </row>
    <row r="29" spans="2:6" ht="14.65" thickTop="1">
      <c r="B29" s="84"/>
      <c r="C29" s="43" t="s">
        <v>58</v>
      </c>
      <c r="D29" s="44">
        <f>SUM(D25:D27)</f>
        <v>2382090</v>
      </c>
      <c r="E29" s="45" t="s">
        <v>5</v>
      </c>
      <c r="F29" s="99">
        <f>D29/(D7*12)</f>
        <v>0.39701500000000001</v>
      </c>
    </row>
    <row r="31" spans="2:6">
      <c r="C31" s="57" t="s">
        <v>59</v>
      </c>
      <c r="D31" s="58">
        <f>D24</f>
        <v>1919944</v>
      </c>
      <c r="E31" s="59" t="s">
        <v>5</v>
      </c>
    </row>
    <row r="32" spans="2:6" ht="14.65" thickBot="1">
      <c r="C32" s="48" t="s">
        <v>60</v>
      </c>
      <c r="D32" s="49">
        <f>-D29</f>
        <v>-2382090</v>
      </c>
      <c r="E32" s="50" t="s">
        <v>5</v>
      </c>
    </row>
    <row r="33" spans="3:5" ht="14.65" thickTop="1">
      <c r="C33" s="51" t="s">
        <v>62</v>
      </c>
      <c r="D33" s="52">
        <f>SUM(D31:D32)</f>
        <v>-462146</v>
      </c>
      <c r="E33" s="53" t="s">
        <v>61</v>
      </c>
    </row>
  </sheetData>
  <mergeCells count="8">
    <mergeCell ref="B19:B24"/>
    <mergeCell ref="B25:B29"/>
    <mergeCell ref="B4:C4"/>
    <mergeCell ref="B17:C17"/>
    <mergeCell ref="B6:B8"/>
    <mergeCell ref="B9:B13"/>
    <mergeCell ref="B5:C5"/>
    <mergeCell ref="B14:B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B962A-81B3-4213-8B36-882AC4B269C3}">
  <sheetPr codeName="Sheet3"/>
  <dimension ref="A1:AF140"/>
  <sheetViews>
    <sheetView topLeftCell="E1" zoomScaleNormal="100" workbookViewId="0">
      <selection activeCell="K14" sqref="K14"/>
    </sheetView>
  </sheetViews>
  <sheetFormatPr defaultRowHeight="14.25"/>
  <cols>
    <col min="1" max="1" width="9.1328125" style="2" bestFit="1" customWidth="1"/>
    <col min="2" max="2" width="9.06640625" style="1"/>
    <col min="3" max="3" width="37.1328125" style="1" customWidth="1"/>
    <col min="4" max="4" width="9.1328125" style="1" bestFit="1" customWidth="1"/>
    <col min="5" max="5" width="10.3984375" style="1" bestFit="1" customWidth="1"/>
    <col min="6" max="7" width="10.33203125" style="1" bestFit="1" customWidth="1"/>
    <col min="8" max="8" width="11.59765625" style="1" bestFit="1" customWidth="1"/>
    <col min="9" max="9" width="2.6640625" style="1" bestFit="1" customWidth="1"/>
    <col min="10" max="10" width="11.59765625" style="2" bestFit="1" customWidth="1"/>
    <col min="11" max="11" width="11.6640625" style="10" customWidth="1"/>
    <col min="12" max="12" width="11.46484375" style="1" bestFit="1" customWidth="1"/>
    <col min="13" max="13" width="22.3984375" style="1" customWidth="1"/>
    <col min="14" max="14" width="9.1328125" style="1" bestFit="1" customWidth="1"/>
    <col min="15" max="16" width="9.06640625" style="1"/>
    <col min="17" max="17" width="16.06640625" style="1" bestFit="1" customWidth="1"/>
    <col min="18" max="18" width="15.265625" style="1" bestFit="1" customWidth="1"/>
    <col min="19" max="19" width="27.265625" style="1" bestFit="1" customWidth="1"/>
    <col min="20" max="20" width="15.86328125" style="1" bestFit="1" customWidth="1"/>
    <col min="21" max="21" width="14.19921875" style="1" bestFit="1" customWidth="1"/>
    <col min="22" max="22" width="15.796875" style="1" customWidth="1"/>
    <col min="23" max="24" width="10.33203125" style="1" bestFit="1" customWidth="1"/>
    <col min="25" max="27" width="9.06640625" style="1"/>
    <col min="28" max="28" width="11.53125" style="1" bestFit="1" customWidth="1"/>
    <col min="29" max="29" width="9.06640625" style="1"/>
    <col min="30" max="30" width="14.796875" style="1" customWidth="1"/>
    <col min="31" max="31" width="11.53125" style="2" bestFit="1" customWidth="1"/>
    <col min="32" max="32" width="11.06640625" style="2" customWidth="1"/>
    <col min="33" max="16384" width="9.06640625" style="1"/>
  </cols>
  <sheetData>
    <row r="1" spans="1:14">
      <c r="C1" s="12" t="s">
        <v>28</v>
      </c>
    </row>
    <row r="2" spans="1:14">
      <c r="A2" s="2">
        <v>500</v>
      </c>
      <c r="C2" s="3" t="s">
        <v>25</v>
      </c>
      <c r="D2" s="3" t="s">
        <v>15</v>
      </c>
      <c r="E2" s="3" t="s">
        <v>16</v>
      </c>
      <c r="H2" s="2" t="s">
        <v>24</v>
      </c>
      <c r="I2" s="2"/>
      <c r="K2" s="9" t="s">
        <v>15</v>
      </c>
    </row>
    <row r="3" spans="1:14">
      <c r="A3" s="2">
        <f>A2+500</f>
        <v>1000</v>
      </c>
      <c r="C3" s="7" t="s">
        <v>17</v>
      </c>
      <c r="D3" s="4">
        <v>0.05</v>
      </c>
      <c r="E3" s="5">
        <v>0</v>
      </c>
      <c r="H3" s="2">
        <v>1000</v>
      </c>
      <c r="I3" s="11" t="s">
        <v>27</v>
      </c>
      <c r="J3" s="2">
        <v>1949000</v>
      </c>
      <c r="K3" s="10">
        <v>0.05</v>
      </c>
    </row>
    <row r="4" spans="1:14">
      <c r="A4" s="2">
        <f t="shared" ref="A4:A66" si="0">A3+500</f>
        <v>1500</v>
      </c>
      <c r="C4" s="7" t="s">
        <v>18</v>
      </c>
      <c r="D4" s="4">
        <v>0.1</v>
      </c>
      <c r="E4" s="6">
        <v>97500</v>
      </c>
      <c r="H4" s="2">
        <v>1950000</v>
      </c>
      <c r="I4" s="11" t="s">
        <v>27</v>
      </c>
      <c r="J4" s="2">
        <v>3299000</v>
      </c>
      <c r="K4" s="10">
        <v>0.1</v>
      </c>
    </row>
    <row r="5" spans="1:14">
      <c r="A5" s="2">
        <f t="shared" si="0"/>
        <v>2000</v>
      </c>
      <c r="C5" s="7" t="s">
        <v>19</v>
      </c>
      <c r="D5" s="4">
        <v>0.2</v>
      </c>
      <c r="E5" s="6">
        <v>427500</v>
      </c>
      <c r="H5" s="2">
        <v>3300000</v>
      </c>
      <c r="I5" s="11" t="s">
        <v>27</v>
      </c>
      <c r="J5" s="2">
        <v>6949000</v>
      </c>
      <c r="K5" s="10">
        <v>0.2</v>
      </c>
    </row>
    <row r="6" spans="1:14">
      <c r="A6" s="2">
        <f t="shared" si="0"/>
        <v>2500</v>
      </c>
      <c r="C6" s="7" t="s">
        <v>20</v>
      </c>
      <c r="D6" s="4">
        <v>0.23</v>
      </c>
      <c r="E6" s="6">
        <v>636000</v>
      </c>
      <c r="H6" s="2">
        <v>6950000</v>
      </c>
      <c r="I6" s="11" t="s">
        <v>27</v>
      </c>
      <c r="J6" s="2">
        <v>8999000</v>
      </c>
      <c r="K6" s="10">
        <v>0.23</v>
      </c>
    </row>
    <row r="7" spans="1:14">
      <c r="A7" s="2">
        <f t="shared" si="0"/>
        <v>3000</v>
      </c>
      <c r="C7" s="7" t="s">
        <v>21</v>
      </c>
      <c r="D7" s="4">
        <v>0.33</v>
      </c>
      <c r="E7" s="6">
        <v>1536000</v>
      </c>
      <c r="H7" s="2">
        <v>9000000</v>
      </c>
      <c r="I7" s="11" t="s">
        <v>27</v>
      </c>
      <c r="J7" s="2">
        <v>17999000</v>
      </c>
      <c r="K7" s="10">
        <v>0.33</v>
      </c>
    </row>
    <row r="8" spans="1:14">
      <c r="A8" s="2">
        <f t="shared" si="0"/>
        <v>3500</v>
      </c>
      <c r="C8" s="7" t="s">
        <v>22</v>
      </c>
      <c r="D8" s="4">
        <v>0.4</v>
      </c>
      <c r="E8" s="6">
        <v>2796000</v>
      </c>
      <c r="H8" s="2">
        <v>18000000</v>
      </c>
      <c r="I8" s="11" t="s">
        <v>27</v>
      </c>
      <c r="J8" s="2">
        <v>39999000</v>
      </c>
      <c r="K8" s="10">
        <v>0.4</v>
      </c>
    </row>
    <row r="9" spans="1:14">
      <c r="A9" s="2">
        <f t="shared" si="0"/>
        <v>4000</v>
      </c>
      <c r="C9" s="7" t="s">
        <v>23</v>
      </c>
      <c r="D9" s="4">
        <v>0.45</v>
      </c>
      <c r="E9" s="6">
        <v>4796000</v>
      </c>
      <c r="H9" s="2">
        <v>40000000</v>
      </c>
      <c r="I9" s="11" t="s">
        <v>27</v>
      </c>
      <c r="J9" s="2">
        <v>40000000</v>
      </c>
      <c r="K9" s="10">
        <v>0.45</v>
      </c>
    </row>
    <row r="10" spans="1:14">
      <c r="A10" s="2">
        <f t="shared" si="0"/>
        <v>4500</v>
      </c>
    </row>
    <row r="11" spans="1:14">
      <c r="A11" s="2">
        <f t="shared" si="0"/>
        <v>5000</v>
      </c>
      <c r="J11" s="2" t="s">
        <v>117</v>
      </c>
      <c r="K11" s="10" t="s">
        <v>26</v>
      </c>
      <c r="L11" s="1" t="s">
        <v>119</v>
      </c>
    </row>
    <row r="12" spans="1:14">
      <c r="A12" s="2">
        <f t="shared" si="0"/>
        <v>5500</v>
      </c>
      <c r="H12" s="1" t="s">
        <v>102</v>
      </c>
      <c r="J12" s="2">
        <f>Simulation!D9</f>
        <v>650000</v>
      </c>
      <c r="K12" s="10">
        <f>IFERROR(VLOOKUP(J12,$H$3:$K$9,4,TRUE)*100%,0)</f>
        <v>0.05</v>
      </c>
      <c r="L12" s="2">
        <f>J12*K12</f>
        <v>32500</v>
      </c>
    </row>
    <row r="13" spans="1:14">
      <c r="A13" s="2">
        <f t="shared" si="0"/>
        <v>6000</v>
      </c>
      <c r="H13" s="1" t="s">
        <v>118</v>
      </c>
      <c r="J13" s="2">
        <f>Simulation!D11</f>
        <v>5380000</v>
      </c>
      <c r="K13" s="10">
        <f>IFERROR(VLOOKUP(J13,$H$3:$K$9,4,TRUE)*100%,0)</f>
        <v>0.2</v>
      </c>
      <c r="L13" s="2">
        <f>J13*K13</f>
        <v>1076000</v>
      </c>
    </row>
    <row r="14" spans="1:14">
      <c r="A14" s="2">
        <f t="shared" si="0"/>
        <v>6500</v>
      </c>
      <c r="L14" s="97">
        <f>L13-L12</f>
        <v>1043500</v>
      </c>
    </row>
    <row r="15" spans="1:14">
      <c r="A15" s="2">
        <f t="shared" si="0"/>
        <v>7000</v>
      </c>
      <c r="M15" s="1" t="s">
        <v>39</v>
      </c>
      <c r="N15" s="12" t="s">
        <v>109</v>
      </c>
    </row>
    <row r="16" spans="1:14">
      <c r="A16" s="2">
        <f t="shared" si="0"/>
        <v>7500</v>
      </c>
      <c r="M16" s="1" t="s">
        <v>40</v>
      </c>
    </row>
    <row r="17" spans="1:24">
      <c r="A17" s="2">
        <f t="shared" si="0"/>
        <v>8000</v>
      </c>
    </row>
    <row r="18" spans="1:24">
      <c r="A18" s="2">
        <f t="shared" si="0"/>
        <v>8500</v>
      </c>
      <c r="M18" s="1" t="s">
        <v>41</v>
      </c>
      <c r="N18" s="8">
        <v>7.0000000000000007E-2</v>
      </c>
    </row>
    <row r="19" spans="1:24">
      <c r="A19" s="2">
        <f t="shared" si="0"/>
        <v>9000</v>
      </c>
    </row>
    <row r="20" spans="1:24">
      <c r="A20" s="2">
        <f t="shared" si="0"/>
        <v>9500</v>
      </c>
    </row>
    <row r="21" spans="1:24">
      <c r="A21" s="2">
        <f t="shared" si="0"/>
        <v>10000</v>
      </c>
    </row>
    <row r="22" spans="1:24">
      <c r="A22" s="2">
        <f t="shared" si="0"/>
        <v>10500</v>
      </c>
    </row>
    <row r="23" spans="1:24">
      <c r="A23" s="2">
        <f t="shared" si="0"/>
        <v>11000</v>
      </c>
    </row>
    <row r="24" spans="1:24">
      <c r="A24" s="2">
        <f t="shared" si="0"/>
        <v>11500</v>
      </c>
      <c r="Q24" s="93" t="s">
        <v>64</v>
      </c>
      <c r="R24" s="93"/>
      <c r="S24" s="93" t="s">
        <v>65</v>
      </c>
      <c r="T24" s="63" t="s">
        <v>64</v>
      </c>
      <c r="U24" s="94" t="s">
        <v>115</v>
      </c>
      <c r="V24" s="94" t="s">
        <v>116</v>
      </c>
      <c r="W24" s="13"/>
    </row>
    <row r="25" spans="1:24" ht="28.5">
      <c r="A25" s="2">
        <f t="shared" si="0"/>
        <v>12000</v>
      </c>
      <c r="Q25" s="93" t="s">
        <v>66</v>
      </c>
      <c r="R25" s="93"/>
      <c r="S25" s="93"/>
      <c r="T25" s="63" t="s">
        <v>66</v>
      </c>
      <c r="U25" s="95"/>
      <c r="V25" s="95"/>
      <c r="W25" s="13"/>
    </row>
    <row r="26" spans="1:24">
      <c r="A26" s="2">
        <f t="shared" si="0"/>
        <v>12500</v>
      </c>
      <c r="Q26" s="64" t="s">
        <v>67</v>
      </c>
      <c r="R26" s="64"/>
      <c r="S26" s="64" t="s">
        <v>68</v>
      </c>
      <c r="T26" s="17">
        <v>0</v>
      </c>
      <c r="U26" s="65">
        <v>550000</v>
      </c>
      <c r="V26" s="65">
        <v>550000</v>
      </c>
      <c r="W26" s="13"/>
    </row>
    <row r="27" spans="1:24">
      <c r="A27" s="2">
        <f t="shared" si="0"/>
        <v>13000</v>
      </c>
      <c r="Q27" s="64" t="s">
        <v>69</v>
      </c>
      <c r="R27" s="64" t="s">
        <v>70</v>
      </c>
      <c r="S27" s="64" t="s">
        <v>71</v>
      </c>
      <c r="T27" s="66">
        <v>1625001</v>
      </c>
      <c r="U27" s="65">
        <f>$S$34*W27+X27</f>
        <v>580000</v>
      </c>
      <c r="V27" s="65">
        <f>$S$35*W27+X27</f>
        <v>2980000</v>
      </c>
      <c r="W27" s="67">
        <v>0.4</v>
      </c>
      <c r="X27" s="68">
        <f>--100000</f>
        <v>100000</v>
      </c>
    </row>
    <row r="28" spans="1:24">
      <c r="A28" s="2">
        <f t="shared" si="0"/>
        <v>13500</v>
      </c>
      <c r="Q28" s="64" t="s">
        <v>72</v>
      </c>
      <c r="R28" s="64" t="s">
        <v>73</v>
      </c>
      <c r="S28" s="64" t="s">
        <v>74</v>
      </c>
      <c r="T28" s="66">
        <v>1800001</v>
      </c>
      <c r="U28" s="65">
        <f>$S$34*W28+X28</f>
        <v>440000</v>
      </c>
      <c r="V28" s="65">
        <f>$S$35*W28+X28</f>
        <v>2240000</v>
      </c>
      <c r="W28" s="67">
        <v>0.3</v>
      </c>
      <c r="X28" s="68">
        <v>80000</v>
      </c>
    </row>
    <row r="29" spans="1:24">
      <c r="A29" s="2">
        <f t="shared" si="0"/>
        <v>14000</v>
      </c>
      <c r="Q29" s="64" t="s">
        <v>75</v>
      </c>
      <c r="R29" s="64" t="s">
        <v>76</v>
      </c>
      <c r="S29" s="64" t="s">
        <v>85</v>
      </c>
      <c r="T29" s="66">
        <v>3600001</v>
      </c>
      <c r="U29" s="65">
        <f>$S$34*W29+X29</f>
        <v>680000</v>
      </c>
      <c r="V29" s="65">
        <f>$S$35*W29+X29</f>
        <v>1880000</v>
      </c>
      <c r="W29" s="67">
        <v>0.2</v>
      </c>
      <c r="X29" s="68">
        <v>440000</v>
      </c>
    </row>
    <row r="30" spans="1:24">
      <c r="A30" s="2">
        <f t="shared" si="0"/>
        <v>14500</v>
      </c>
      <c r="Q30" s="64" t="s">
        <v>77</v>
      </c>
      <c r="R30" s="64" t="s">
        <v>78</v>
      </c>
      <c r="S30" s="64" t="s">
        <v>79</v>
      </c>
      <c r="T30" s="66">
        <v>6600001</v>
      </c>
      <c r="U30" s="65">
        <f>$S$34*W30+X30</f>
        <v>1220000</v>
      </c>
      <c r="V30" s="65">
        <f>$S$35*W30+X30</f>
        <v>1820000</v>
      </c>
      <c r="W30" s="67">
        <v>0.1</v>
      </c>
      <c r="X30" s="68">
        <v>1100000</v>
      </c>
    </row>
    <row r="31" spans="1:24">
      <c r="A31" s="2">
        <f t="shared" si="0"/>
        <v>15000</v>
      </c>
      <c r="Q31" s="64" t="s">
        <v>80</v>
      </c>
      <c r="R31" s="64"/>
      <c r="S31" s="64" t="s">
        <v>81</v>
      </c>
      <c r="T31" s="66">
        <v>8500001</v>
      </c>
      <c r="U31" s="65">
        <v>1950000</v>
      </c>
      <c r="V31" s="65">
        <v>1950000</v>
      </c>
      <c r="W31" s="68"/>
    </row>
    <row r="32" spans="1:24">
      <c r="A32" s="2">
        <f t="shared" si="0"/>
        <v>15500</v>
      </c>
      <c r="Q32" s="69"/>
      <c r="R32" s="13"/>
      <c r="S32" s="13"/>
      <c r="T32" s="13"/>
      <c r="U32" s="13"/>
      <c r="V32" s="13"/>
      <c r="W32" s="68"/>
    </row>
    <row r="33" spans="1:32">
      <c r="A33" s="2">
        <f t="shared" si="0"/>
        <v>16000</v>
      </c>
      <c r="Q33" s="69"/>
      <c r="R33" s="70"/>
      <c r="S33" s="71" t="s">
        <v>82</v>
      </c>
      <c r="T33" s="71" t="s">
        <v>83</v>
      </c>
      <c r="U33" s="71" t="s">
        <v>84</v>
      </c>
      <c r="V33" s="13"/>
      <c r="W33" s="68"/>
    </row>
    <row r="34" spans="1:32">
      <c r="A34" s="2">
        <f t="shared" si="0"/>
        <v>16500</v>
      </c>
      <c r="Q34" s="69"/>
      <c r="R34" s="70" t="s">
        <v>86</v>
      </c>
      <c r="S34" s="77">
        <f>Simulation!D6*12</f>
        <v>1200000</v>
      </c>
      <c r="T34" s="72">
        <f>VLOOKUP(S34,$T$26:$U$31,2,TRUE)</f>
        <v>550000</v>
      </c>
      <c r="U34" s="73">
        <f>IF((S34-T34)&gt;0,S34-T34,0)</f>
        <v>650000</v>
      </c>
      <c r="V34" s="96"/>
      <c r="W34" s="13"/>
    </row>
    <row r="35" spans="1:32">
      <c r="A35" s="2">
        <f t="shared" si="0"/>
        <v>17000</v>
      </c>
      <c r="R35" s="70" t="s">
        <v>87</v>
      </c>
      <c r="S35" s="74">
        <f>Simulation!D8*12</f>
        <v>7200000</v>
      </c>
      <c r="T35" s="72">
        <f>VLOOKUP(S35,$T$26:$V$31,3,TRUE)</f>
        <v>1820000</v>
      </c>
      <c r="U35" s="73">
        <f>IF((S35-T35)&gt;0,S35-T35,0)</f>
        <v>5380000</v>
      </c>
    </row>
    <row r="36" spans="1:32">
      <c r="A36" s="2">
        <f t="shared" si="0"/>
        <v>17500</v>
      </c>
      <c r="AB36" s="82" t="s">
        <v>98</v>
      </c>
    </row>
    <row r="37" spans="1:32">
      <c r="A37" s="2">
        <f t="shared" si="0"/>
        <v>18000</v>
      </c>
      <c r="T37" s="75" t="s">
        <v>88</v>
      </c>
      <c r="U37" s="76">
        <f>U35-U34</f>
        <v>4730000</v>
      </c>
    </row>
    <row r="38" spans="1:32">
      <c r="A38" s="2">
        <f t="shared" si="0"/>
        <v>18500</v>
      </c>
      <c r="AE38" s="2" t="s">
        <v>102</v>
      </c>
      <c r="AF38" s="2" t="s">
        <v>103</v>
      </c>
    </row>
    <row r="39" spans="1:32">
      <c r="A39" s="2">
        <f t="shared" si="0"/>
        <v>19000</v>
      </c>
      <c r="AD39" s="1" t="s">
        <v>101</v>
      </c>
      <c r="AE39" s="2">
        <f>Simulation!$D$14</f>
        <v>12000000</v>
      </c>
      <c r="AF39" s="2">
        <f>Simulation!$D$15</f>
        <v>6000000</v>
      </c>
    </row>
    <row r="40" spans="1:32">
      <c r="A40" s="2">
        <f t="shared" si="0"/>
        <v>19500</v>
      </c>
      <c r="AD40" s="1" t="s">
        <v>105</v>
      </c>
      <c r="AE40" s="2">
        <f>IF(AE39&gt;8000000,8000000,AE39)</f>
        <v>8000000</v>
      </c>
      <c r="AF40" s="2">
        <f>IF(AF39&gt;8000000,8000000,AF39)</f>
        <v>6000000</v>
      </c>
    </row>
    <row r="41" spans="1:32">
      <c r="A41" s="2">
        <f t="shared" si="0"/>
        <v>20000</v>
      </c>
      <c r="AD41" s="1" t="s">
        <v>106</v>
      </c>
      <c r="AE41" s="2">
        <f>IF((AE39-AE40)&gt;0,AE39-AE40,0)</f>
        <v>4000000</v>
      </c>
      <c r="AF41" s="2">
        <f>IF((AF39-AF40)&gt;0,AF39-AF40,0)</f>
        <v>0</v>
      </c>
    </row>
    <row r="42" spans="1:32">
      <c r="A42" s="2">
        <f t="shared" si="0"/>
        <v>20500</v>
      </c>
    </row>
    <row r="43" spans="1:32">
      <c r="A43" s="2">
        <f t="shared" si="0"/>
        <v>21000</v>
      </c>
      <c r="AB43" s="2">
        <v>8000000</v>
      </c>
      <c r="AC43" s="1" t="s">
        <v>100</v>
      </c>
      <c r="AD43" s="8">
        <v>0.15</v>
      </c>
      <c r="AE43" s="2">
        <f>AE40*$AD43</f>
        <v>1200000</v>
      </c>
      <c r="AF43" s="2">
        <f>AF40*$AD43</f>
        <v>900000</v>
      </c>
    </row>
    <row r="44" spans="1:32">
      <c r="A44" s="2">
        <f t="shared" si="0"/>
        <v>21500</v>
      </c>
      <c r="AB44" s="2">
        <v>8000001</v>
      </c>
      <c r="AC44" s="1" t="s">
        <v>99</v>
      </c>
      <c r="AD44" s="20">
        <v>0.23200000000000001</v>
      </c>
      <c r="AE44" s="2">
        <f>AE41*$AD44</f>
        <v>928000</v>
      </c>
      <c r="AF44" s="2">
        <f>AF41*$AD44</f>
        <v>0</v>
      </c>
    </row>
    <row r="45" spans="1:32">
      <c r="A45" s="2">
        <f t="shared" si="0"/>
        <v>22000</v>
      </c>
    </row>
    <row r="46" spans="1:32">
      <c r="A46" s="2">
        <f t="shared" si="0"/>
        <v>22500</v>
      </c>
    </row>
    <row r="47" spans="1:32">
      <c r="A47" s="2">
        <f t="shared" si="0"/>
        <v>23000</v>
      </c>
      <c r="AD47" s="1" t="s">
        <v>104</v>
      </c>
      <c r="AE47" s="2">
        <f>SUM(AE43:AE44)</f>
        <v>2128000</v>
      </c>
      <c r="AF47" s="2">
        <f>SUM(AF43:AF44)</f>
        <v>900000</v>
      </c>
    </row>
    <row r="48" spans="1:32">
      <c r="A48" s="2">
        <f t="shared" si="0"/>
        <v>23500</v>
      </c>
    </row>
    <row r="49" spans="1:32">
      <c r="A49" s="2">
        <f t="shared" si="0"/>
        <v>24000</v>
      </c>
      <c r="AE49" s="2" t="s">
        <v>107</v>
      </c>
      <c r="AF49" s="2">
        <f>AE47-AF47</f>
        <v>1228000</v>
      </c>
    </row>
    <row r="50" spans="1:32">
      <c r="A50" s="2">
        <f t="shared" si="0"/>
        <v>24500</v>
      </c>
    </row>
    <row r="51" spans="1:32">
      <c r="A51" s="2">
        <f t="shared" si="0"/>
        <v>25000</v>
      </c>
    </row>
    <row r="52" spans="1:32">
      <c r="A52" s="2">
        <f t="shared" si="0"/>
        <v>25500</v>
      </c>
      <c r="AB52" s="81" t="s">
        <v>38</v>
      </c>
      <c r="AC52" s="10"/>
    </row>
    <row r="53" spans="1:32">
      <c r="AB53" s="2"/>
      <c r="AC53" s="10"/>
    </row>
    <row r="54" spans="1:32">
      <c r="A54" s="2">
        <f>A52+500</f>
        <v>26000</v>
      </c>
      <c r="AD54" s="1" t="s">
        <v>101</v>
      </c>
      <c r="AE54" s="2">
        <f>Simulation!$D$14</f>
        <v>12000000</v>
      </c>
      <c r="AF54" s="2">
        <f>Simulation!$D$15</f>
        <v>6000000</v>
      </c>
    </row>
    <row r="55" spans="1:32">
      <c r="A55" s="2">
        <f t="shared" si="0"/>
        <v>26500</v>
      </c>
      <c r="AD55" s="1" t="s">
        <v>111</v>
      </c>
      <c r="AE55" s="2">
        <f>IF(AE54&gt;4000000,4000000,AE54)</f>
        <v>4000000</v>
      </c>
      <c r="AF55" s="2">
        <f>IF(AF54&gt;4000000,4000000,AF54)</f>
        <v>4000000</v>
      </c>
    </row>
    <row r="56" spans="1:32">
      <c r="A56" s="2">
        <f t="shared" si="0"/>
        <v>27000</v>
      </c>
      <c r="AD56" s="1" t="s">
        <v>112</v>
      </c>
      <c r="AE56" s="2">
        <f>IF(AE54&gt;8000000,4000000,IF(AE55=4000000,AE54-AE55,0))</f>
        <v>4000000</v>
      </c>
      <c r="AF56" s="2">
        <f>IF(AF54&gt;8000000,4000000,IF(AF55=4000000,AF54-AF55,0))</f>
        <v>2000000</v>
      </c>
    </row>
    <row r="57" spans="1:32">
      <c r="A57" s="2">
        <f t="shared" si="0"/>
        <v>27500</v>
      </c>
      <c r="AD57" s="1" t="s">
        <v>106</v>
      </c>
      <c r="AE57" s="2">
        <f>AE54-AE55-AE56</f>
        <v>4000000</v>
      </c>
      <c r="AF57" s="2">
        <f>AF54-AF55-AF56</f>
        <v>0</v>
      </c>
    </row>
    <row r="58" spans="1:32">
      <c r="A58" s="2" t="e">
        <f>#REF!+500</f>
        <v>#REF!</v>
      </c>
    </row>
    <row r="59" spans="1:32">
      <c r="A59" s="2" t="e">
        <f t="shared" si="0"/>
        <v>#REF!</v>
      </c>
      <c r="AC59" s="19" t="s">
        <v>34</v>
      </c>
      <c r="AD59" s="19" t="s">
        <v>15</v>
      </c>
    </row>
    <row r="60" spans="1:32">
      <c r="A60" s="2" t="e">
        <f t="shared" si="0"/>
        <v>#REF!</v>
      </c>
      <c r="AC60" s="79" t="s">
        <v>35</v>
      </c>
      <c r="AD60" s="80">
        <v>3.5000000000000003E-2</v>
      </c>
      <c r="AE60" s="2">
        <f>AE54*$AD60</f>
        <v>420000.00000000006</v>
      </c>
      <c r="AF60" s="2">
        <f>AF54*$AD60</f>
        <v>210000.00000000003</v>
      </c>
    </row>
    <row r="61" spans="1:32">
      <c r="A61" s="2" t="e">
        <f t="shared" si="0"/>
        <v>#REF!</v>
      </c>
      <c r="AC61" s="79" t="s">
        <v>36</v>
      </c>
      <c r="AD61" s="80">
        <v>5.2999999999999999E-2</v>
      </c>
      <c r="AE61" s="2">
        <f t="shared" ref="AE61:AF61" si="1">AE55*$AD61</f>
        <v>212000</v>
      </c>
      <c r="AF61" s="2">
        <f t="shared" si="1"/>
        <v>212000</v>
      </c>
    </row>
    <row r="62" spans="1:32">
      <c r="A62" s="2" t="e">
        <f t="shared" si="0"/>
        <v>#REF!</v>
      </c>
      <c r="AC62" s="79" t="s">
        <v>37</v>
      </c>
      <c r="AD62" s="80">
        <v>7.0000000000000007E-2</v>
      </c>
      <c r="AE62" s="2">
        <f t="shared" ref="AE62:AF62" si="2">AE56*$AD62</f>
        <v>280000</v>
      </c>
      <c r="AF62" s="2">
        <f t="shared" si="2"/>
        <v>140000</v>
      </c>
    </row>
    <row r="63" spans="1:32">
      <c r="A63" s="2" t="e">
        <f t="shared" si="0"/>
        <v>#REF!</v>
      </c>
    </row>
    <row r="64" spans="1:32">
      <c r="A64" s="2" t="e">
        <f t="shared" si="0"/>
        <v>#REF!</v>
      </c>
      <c r="AE64" s="2">
        <f>SUM(AE60:AE63)</f>
        <v>912000</v>
      </c>
      <c r="AF64" s="2">
        <f>SUM(AF60:AF63)</f>
        <v>562000</v>
      </c>
    </row>
    <row r="65" spans="1:32">
      <c r="A65" s="2" t="e">
        <f t="shared" si="0"/>
        <v>#REF!</v>
      </c>
    </row>
    <row r="66" spans="1:32">
      <c r="A66" s="2" t="e">
        <f t="shared" si="0"/>
        <v>#REF!</v>
      </c>
      <c r="AE66" s="2" t="s">
        <v>107</v>
      </c>
      <c r="AF66" s="2">
        <f>AE64-AF64</f>
        <v>350000</v>
      </c>
    </row>
    <row r="67" spans="1:32">
      <c r="A67" s="2" t="e">
        <f t="shared" ref="A67:A130" si="3">A66+500</f>
        <v>#REF!</v>
      </c>
    </row>
    <row r="68" spans="1:32">
      <c r="A68" s="2" t="e">
        <f t="shared" si="3"/>
        <v>#REF!</v>
      </c>
    </row>
    <row r="69" spans="1:32">
      <c r="A69" s="2" t="e">
        <f t="shared" si="3"/>
        <v>#REF!</v>
      </c>
    </row>
    <row r="70" spans="1:32">
      <c r="A70" s="2" t="e">
        <f t="shared" si="3"/>
        <v>#REF!</v>
      </c>
    </row>
    <row r="71" spans="1:32">
      <c r="A71" s="2" t="e">
        <f t="shared" si="3"/>
        <v>#REF!</v>
      </c>
    </row>
    <row r="72" spans="1:32">
      <c r="A72" s="2" t="e">
        <f t="shared" si="3"/>
        <v>#REF!</v>
      </c>
    </row>
    <row r="73" spans="1:32">
      <c r="A73" s="2" t="e">
        <f t="shared" si="3"/>
        <v>#REF!</v>
      </c>
    </row>
    <row r="74" spans="1:32">
      <c r="A74" s="2" t="e">
        <f t="shared" si="3"/>
        <v>#REF!</v>
      </c>
    </row>
    <row r="75" spans="1:32">
      <c r="A75" s="2" t="e">
        <f t="shared" si="3"/>
        <v>#REF!</v>
      </c>
    </row>
    <row r="76" spans="1:32">
      <c r="A76" s="2" t="e">
        <f t="shared" si="3"/>
        <v>#REF!</v>
      </c>
    </row>
    <row r="77" spans="1:32">
      <c r="A77" s="2" t="e">
        <f t="shared" si="3"/>
        <v>#REF!</v>
      </c>
    </row>
    <row r="78" spans="1:32">
      <c r="A78" s="2" t="e">
        <f t="shared" si="3"/>
        <v>#REF!</v>
      </c>
    </row>
    <row r="79" spans="1:32">
      <c r="A79" s="2" t="e">
        <f t="shared" si="3"/>
        <v>#REF!</v>
      </c>
    </row>
    <row r="80" spans="1:32">
      <c r="A80" s="2" t="e">
        <f t="shared" si="3"/>
        <v>#REF!</v>
      </c>
    </row>
    <row r="81" spans="1:1">
      <c r="A81" s="2" t="e">
        <f t="shared" si="3"/>
        <v>#REF!</v>
      </c>
    </row>
    <row r="82" spans="1:1">
      <c r="A82" s="2" t="e">
        <f t="shared" si="3"/>
        <v>#REF!</v>
      </c>
    </row>
    <row r="83" spans="1:1">
      <c r="A83" s="2" t="e">
        <f t="shared" si="3"/>
        <v>#REF!</v>
      </c>
    </row>
    <row r="84" spans="1:1">
      <c r="A84" s="2" t="e">
        <f t="shared" si="3"/>
        <v>#REF!</v>
      </c>
    </row>
    <row r="85" spans="1:1">
      <c r="A85" s="2" t="e">
        <f t="shared" si="3"/>
        <v>#REF!</v>
      </c>
    </row>
    <row r="86" spans="1:1">
      <c r="A86" s="2" t="e">
        <f t="shared" si="3"/>
        <v>#REF!</v>
      </c>
    </row>
    <row r="87" spans="1:1">
      <c r="A87" s="2" t="e">
        <f t="shared" si="3"/>
        <v>#REF!</v>
      </c>
    </row>
    <row r="88" spans="1:1">
      <c r="A88" s="2" t="e">
        <f t="shared" si="3"/>
        <v>#REF!</v>
      </c>
    </row>
    <row r="89" spans="1:1">
      <c r="A89" s="2" t="e">
        <f t="shared" si="3"/>
        <v>#REF!</v>
      </c>
    </row>
    <row r="90" spans="1:1">
      <c r="A90" s="2" t="e">
        <f t="shared" si="3"/>
        <v>#REF!</v>
      </c>
    </row>
    <row r="91" spans="1:1">
      <c r="A91" s="2" t="e">
        <f t="shared" si="3"/>
        <v>#REF!</v>
      </c>
    </row>
    <row r="92" spans="1:1">
      <c r="A92" s="2" t="e">
        <f t="shared" si="3"/>
        <v>#REF!</v>
      </c>
    </row>
    <row r="93" spans="1:1">
      <c r="A93" s="2" t="e">
        <f t="shared" si="3"/>
        <v>#REF!</v>
      </c>
    </row>
    <row r="94" spans="1:1">
      <c r="A94" s="2" t="e">
        <f t="shared" si="3"/>
        <v>#REF!</v>
      </c>
    </row>
    <row r="95" spans="1:1">
      <c r="A95" s="2" t="e">
        <f t="shared" si="3"/>
        <v>#REF!</v>
      </c>
    </row>
    <row r="96" spans="1:1">
      <c r="A96" s="2" t="e">
        <f t="shared" si="3"/>
        <v>#REF!</v>
      </c>
    </row>
    <row r="97" spans="1:1">
      <c r="A97" s="2" t="e">
        <f t="shared" si="3"/>
        <v>#REF!</v>
      </c>
    </row>
    <row r="98" spans="1:1">
      <c r="A98" s="2" t="e">
        <f t="shared" si="3"/>
        <v>#REF!</v>
      </c>
    </row>
    <row r="99" spans="1:1">
      <c r="A99" s="2" t="e">
        <f t="shared" si="3"/>
        <v>#REF!</v>
      </c>
    </row>
    <row r="100" spans="1:1">
      <c r="A100" s="2" t="e">
        <f t="shared" si="3"/>
        <v>#REF!</v>
      </c>
    </row>
    <row r="101" spans="1:1">
      <c r="A101" s="2" t="e">
        <f t="shared" si="3"/>
        <v>#REF!</v>
      </c>
    </row>
    <row r="102" spans="1:1">
      <c r="A102" s="2" t="e">
        <f t="shared" si="3"/>
        <v>#REF!</v>
      </c>
    </row>
    <row r="103" spans="1:1">
      <c r="A103" s="2" t="e">
        <f t="shared" si="3"/>
        <v>#REF!</v>
      </c>
    </row>
    <row r="104" spans="1:1">
      <c r="A104" s="2" t="e">
        <f t="shared" si="3"/>
        <v>#REF!</v>
      </c>
    </row>
    <row r="105" spans="1:1">
      <c r="A105" s="2" t="e">
        <f t="shared" si="3"/>
        <v>#REF!</v>
      </c>
    </row>
    <row r="106" spans="1:1">
      <c r="A106" s="2" t="e">
        <f t="shared" si="3"/>
        <v>#REF!</v>
      </c>
    </row>
    <row r="107" spans="1:1">
      <c r="A107" s="2" t="e">
        <f t="shared" si="3"/>
        <v>#REF!</v>
      </c>
    </row>
    <row r="108" spans="1:1">
      <c r="A108" s="2" t="e">
        <f t="shared" si="3"/>
        <v>#REF!</v>
      </c>
    </row>
    <row r="109" spans="1:1">
      <c r="A109" s="2" t="e">
        <f t="shared" si="3"/>
        <v>#REF!</v>
      </c>
    </row>
    <row r="110" spans="1:1">
      <c r="A110" s="2" t="e">
        <f t="shared" si="3"/>
        <v>#REF!</v>
      </c>
    </row>
    <row r="111" spans="1:1">
      <c r="A111" s="2" t="e">
        <f t="shared" si="3"/>
        <v>#REF!</v>
      </c>
    </row>
    <row r="112" spans="1:1">
      <c r="A112" s="2" t="e">
        <f t="shared" si="3"/>
        <v>#REF!</v>
      </c>
    </row>
    <row r="113" spans="1:1">
      <c r="A113" s="2" t="e">
        <f t="shared" si="3"/>
        <v>#REF!</v>
      </c>
    </row>
    <row r="114" spans="1:1">
      <c r="A114" s="2" t="e">
        <f t="shared" si="3"/>
        <v>#REF!</v>
      </c>
    </row>
    <row r="115" spans="1:1">
      <c r="A115" s="2" t="e">
        <f t="shared" si="3"/>
        <v>#REF!</v>
      </c>
    </row>
    <row r="116" spans="1:1">
      <c r="A116" s="2" t="e">
        <f t="shared" si="3"/>
        <v>#REF!</v>
      </c>
    </row>
    <row r="117" spans="1:1">
      <c r="A117" s="2" t="e">
        <f t="shared" si="3"/>
        <v>#REF!</v>
      </c>
    </row>
    <row r="118" spans="1:1">
      <c r="A118" s="2" t="e">
        <f t="shared" si="3"/>
        <v>#REF!</v>
      </c>
    </row>
    <row r="119" spans="1:1">
      <c r="A119" s="2" t="e">
        <f t="shared" si="3"/>
        <v>#REF!</v>
      </c>
    </row>
    <row r="120" spans="1:1">
      <c r="A120" s="2" t="e">
        <f t="shared" si="3"/>
        <v>#REF!</v>
      </c>
    </row>
    <row r="121" spans="1:1">
      <c r="A121" s="2" t="e">
        <f t="shared" si="3"/>
        <v>#REF!</v>
      </c>
    </row>
    <row r="122" spans="1:1">
      <c r="A122" s="2" t="e">
        <f t="shared" si="3"/>
        <v>#REF!</v>
      </c>
    </row>
    <row r="123" spans="1:1">
      <c r="A123" s="2" t="e">
        <f t="shared" si="3"/>
        <v>#REF!</v>
      </c>
    </row>
    <row r="124" spans="1:1">
      <c r="A124" s="2" t="e">
        <f t="shared" si="3"/>
        <v>#REF!</v>
      </c>
    </row>
    <row r="125" spans="1:1">
      <c r="A125" s="2" t="e">
        <f t="shared" si="3"/>
        <v>#REF!</v>
      </c>
    </row>
    <row r="126" spans="1:1">
      <c r="A126" s="2" t="e">
        <f t="shared" si="3"/>
        <v>#REF!</v>
      </c>
    </row>
    <row r="127" spans="1:1">
      <c r="A127" s="2" t="e">
        <f t="shared" si="3"/>
        <v>#REF!</v>
      </c>
    </row>
    <row r="128" spans="1:1">
      <c r="A128" s="2" t="e">
        <f t="shared" si="3"/>
        <v>#REF!</v>
      </c>
    </row>
    <row r="129" spans="1:1">
      <c r="A129" s="2" t="e">
        <f t="shared" si="3"/>
        <v>#REF!</v>
      </c>
    </row>
    <row r="130" spans="1:1">
      <c r="A130" s="2" t="e">
        <f t="shared" si="3"/>
        <v>#REF!</v>
      </c>
    </row>
    <row r="131" spans="1:1">
      <c r="A131" s="2" t="e">
        <f t="shared" ref="A131:A140" si="4">A130+500</f>
        <v>#REF!</v>
      </c>
    </row>
    <row r="132" spans="1:1">
      <c r="A132" s="2" t="e">
        <f t="shared" si="4"/>
        <v>#REF!</v>
      </c>
    </row>
    <row r="133" spans="1:1">
      <c r="A133" s="2" t="e">
        <f t="shared" si="4"/>
        <v>#REF!</v>
      </c>
    </row>
    <row r="134" spans="1:1">
      <c r="A134" s="2" t="e">
        <f t="shared" si="4"/>
        <v>#REF!</v>
      </c>
    </row>
    <row r="135" spans="1:1">
      <c r="A135" s="2" t="e">
        <f t="shared" si="4"/>
        <v>#REF!</v>
      </c>
    </row>
    <row r="136" spans="1:1">
      <c r="A136" s="2" t="e">
        <f t="shared" si="4"/>
        <v>#REF!</v>
      </c>
    </row>
    <row r="137" spans="1:1">
      <c r="A137" s="2" t="e">
        <f t="shared" si="4"/>
        <v>#REF!</v>
      </c>
    </row>
    <row r="138" spans="1:1">
      <c r="A138" s="2" t="e">
        <f t="shared" si="4"/>
        <v>#REF!</v>
      </c>
    </row>
    <row r="139" spans="1:1">
      <c r="A139" s="2" t="e">
        <f t="shared" si="4"/>
        <v>#REF!</v>
      </c>
    </row>
    <row r="140" spans="1:1">
      <c r="A140" s="2" t="e">
        <f t="shared" si="4"/>
        <v>#REF!</v>
      </c>
    </row>
  </sheetData>
  <mergeCells count="5">
    <mergeCell ref="Q24:R24"/>
    <mergeCell ref="S24:S25"/>
    <mergeCell ref="U24:U25"/>
    <mergeCell ref="Q25:R25"/>
    <mergeCell ref="V24:V25"/>
  </mergeCells>
  <phoneticPr fontId="1"/>
  <hyperlinks>
    <hyperlink ref="C1" r:id="rId1" xr:uid="{BAE83592-7DE1-44F5-A23E-563D7194C70F}"/>
    <hyperlink ref="N15" r:id="rId2" xr:uid="{1808A594-BE8B-44D3-9012-B0AFFAB0CD4F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Simulation</vt:lpstr>
      <vt:lpstr>設定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大樹 宮本</cp:lastModifiedBy>
  <dcterms:created xsi:type="dcterms:W3CDTF">2025-10-15T02:47:43Z</dcterms:created>
  <dcterms:modified xsi:type="dcterms:W3CDTF">2025-10-23T02:10:41Z</dcterms:modified>
</cp:coreProperties>
</file>